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drawings/drawing12.xml" ContentType="application/vnd.openxmlformats-officedocument.drawing+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drawings/drawing1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5.xml" ContentType="application/vnd.openxmlformats-officedocument.spreadsheetml.comments+xml"/>
  <Override PartName="/xl/threadedComments/threadedComment2.xml" ContentType="application/vnd.ms-excel.threadedcomments+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Ex1.xml" ContentType="application/vnd.ms-office.chartex+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NinaGetachew\OneDrive - PATH\Documents\"/>
    </mc:Choice>
  </mc:AlternateContent>
  <xr:revisionPtr revIDLastSave="0" documentId="8_{1579B1B1-8859-4853-A044-9D5B5FDE223D}" xr6:coauthVersionLast="47" xr6:coauthVersionMax="47" xr10:uidLastSave="{00000000-0000-0000-0000-000000000000}"/>
  <bookViews>
    <workbookView xWindow="28680" yWindow="-120" windowWidth="29040" windowHeight="15720" firstSheet="1" activeTab="1" xr2:uid="{00000000-000D-0000-FFFF-FFFF00000000}"/>
  </bookViews>
  <sheets>
    <sheet name="TOOL" sheetId="13" state="hidden" r:id="rId1"/>
    <sheet name="Menu" sheetId="41" r:id="rId2"/>
    <sheet name="Guia do Utilizador" sheetId="16" r:id="rId3"/>
    <sheet name="Ambito de Implementação" sheetId="17" r:id="rId4"/>
    <sheet name="Scaling inputs" sheetId="30" state="hidden" r:id="rId5"/>
    <sheet name="Custos de Desenvolvimento" sheetId="36" r:id="rId6"/>
    <sheet name="Custos de Implantação" sheetId="33" r:id="rId7"/>
    <sheet name="Custos de Operação" sheetId="34" r:id="rId8"/>
    <sheet name="Resumo de Custos" sheetId="18" r:id="rId9"/>
    <sheet name="TOOL OPTIONS" sheetId="20" state="hidden" r:id="rId10"/>
    <sheet name="Sheet2" sheetId="2" state="hidden" r:id="rId11"/>
    <sheet name="Sheet12" sheetId="21" state="hidden" r:id="rId12"/>
    <sheet name="Sheet13" sheetId="22" state="hidden" r:id="rId13"/>
    <sheet name="Sheet14" sheetId="23" state="hidden" r:id="rId14"/>
    <sheet name="Sheet15" sheetId="24" state="hidden" r:id="rId15"/>
    <sheet name="Tool logic" sheetId="11" state="hidden" r:id="rId16"/>
    <sheet name="Benchmarking" sheetId="19" r:id="rId17"/>
    <sheet name="Compromissos Orçamentais e Lacu" sheetId="27" r:id="rId18"/>
    <sheet name="Notes - Operations Costs" sheetId="38" state="hidden" r:id="rId19"/>
    <sheet name="Notes - Scope of Implemntn." sheetId="35" state="hidden" r:id="rId20"/>
    <sheet name="Notes - Development Costs" sheetId="32" state="hidden" r:id="rId21"/>
    <sheet name="Notes - Deployment Costs" sheetId="39" state="hidden" r:id="rId22"/>
    <sheet name="BACKGROUND" sheetId="12" state="hidden" r:id="rId23"/>
    <sheet name="Countries" sheetId="25" state="hidden" r:id="rId24"/>
    <sheet name="Salary input data " sheetId="28" state="hidden" r:id="rId25"/>
    <sheet name="Possible edits" sheetId="6" state="hidden" r:id="rId26"/>
    <sheet name="Suggested input data " sheetId="29" state="hidden" r:id="rId27"/>
    <sheet name="Labor tab Example " sheetId="31" state="hidden" r:id="rId28"/>
    <sheet name="LMIS TCO Summary" sheetId="9" state="hidden" r:id="rId29"/>
    <sheet name="LMIS TCO" sheetId="1" state="hidden" r:id="rId30"/>
    <sheet name="LMIS TCO_TZ Reference" sheetId="10" state="hidden" r:id="rId31"/>
    <sheet name="CommCare TCO" sheetId="3" state="hidden" r:id="rId32"/>
    <sheet name="CommCare TCO per year" sheetId="5" state="hidden" r:id="rId33"/>
    <sheet name="Approach and questions" sheetId="8" state="hidden" r:id="rId34"/>
    <sheet name="Cost category comparison" sheetId="7" state="hidden" r:id="rId35"/>
    <sheet name="Cost data triangulation" sheetId="15" state="hidden" r:id="rId36"/>
    <sheet name="Variance by % of TCO" sheetId="26" state="hidden" r:id="rId37"/>
  </sheets>
  <externalReferences>
    <externalReference r:id="rId38"/>
  </externalReferences>
  <definedNames>
    <definedName name="_xlnm._FilterDatabase" localSheetId="29" hidden="1">'LMIS TCO'!$A$4:$P$42</definedName>
    <definedName name="_xlchart.v1.0" hidden="1">'Variance by % of TCO'!$R$3:$R$9</definedName>
    <definedName name="_xlchart.v1.1" hidden="1">'Variance by % of TCO'!$S$2</definedName>
    <definedName name="_xlchart.v1.2" hidden="1">'Variance by % of TCO'!$S$3:$S$9</definedName>
    <definedName name="_xlchart.v1.3" hidden="1">'Variance by % of TCO'!$T$2</definedName>
    <definedName name="_xlchart.v1.4" hidden="1">'Variance by % of TCO'!$T$3:$T$9</definedName>
    <definedName name="_xlchart.v1.5" hidden="1">'Variance by % of TCO'!$U$2</definedName>
    <definedName name="_xlchart.v1.6" hidden="1">'Variance by % of TCO'!$U$3:$U$9</definedName>
    <definedName name="Hosting" localSheetId="17">Table4[Hosting list]</definedName>
    <definedName name="Hosting" localSheetId="5">Table4[Hosting list]</definedName>
    <definedName name="Hosting" localSheetId="1">[1]!Table4[Hosting list]</definedName>
    <definedName name="Hosting" localSheetId="21">Table4[Hosting list]</definedName>
    <definedName name="Hosting" localSheetId="18">Table4[Hosting list]</definedName>
    <definedName name="Hosting" localSheetId="19">Table4[Hosting list]</definedName>
    <definedName name="Hosting">Table4[Hosting list]</definedName>
    <definedName name="Selection" localSheetId="17">Table3[Hosting selected]</definedName>
    <definedName name="Selection" localSheetId="5">Table3[Hosting selected]</definedName>
    <definedName name="Selection" localSheetId="1">[1]!Table3[Hosting selected]</definedName>
    <definedName name="Selection" localSheetId="21">Table3[Hosting selected]</definedName>
    <definedName name="Selection" localSheetId="18">Table3[Hosting selected]</definedName>
    <definedName name="Selection" localSheetId="19">Table3[Hosting selected]</definedName>
    <definedName name="Selection">Table3[Hosting selected]</definedName>
    <definedName name="Shared" localSheetId="5">#REF!</definedName>
    <definedName name="Shared" localSheetId="21">#REF!</definedName>
    <definedName name="Shared" localSheetId="18">#REF!</definedName>
    <definedName name="Shared" localSheetId="19">#REF!</definedName>
    <definedName name="Shar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7" l="1"/>
  <c r="B4" i="18"/>
  <c r="B143" i="34"/>
  <c r="B142" i="34"/>
  <c r="B141" i="34"/>
  <c r="B140" i="34"/>
  <c r="B139" i="34"/>
  <c r="B17" i="17"/>
  <c r="B22" i="17"/>
  <c r="B21" i="17"/>
  <c r="B20" i="17"/>
  <c r="B19" i="17"/>
  <c r="B18" i="17"/>
  <c r="B8" i="36"/>
  <c r="B51" i="33" l="1"/>
  <c r="B9" i="33"/>
  <c r="D132" i="34" l="1"/>
  <c r="C196" i="34" l="1"/>
  <c r="E139" i="34" l="1"/>
  <c r="E142" i="33"/>
  <c r="E138" i="33"/>
  <c r="E143" i="34"/>
  <c r="D142" i="34"/>
  <c r="D141" i="34"/>
  <c r="D130" i="33"/>
  <c r="C85" i="34"/>
  <c r="C84" i="34"/>
  <c r="C83" i="34"/>
  <c r="C82" i="34"/>
  <c r="C81" i="34"/>
  <c r="C40" i="34"/>
  <c r="C39" i="34"/>
  <c r="C38" i="34"/>
  <c r="C37" i="34"/>
  <c r="C36" i="34"/>
  <c r="C33" i="34"/>
  <c r="C32" i="34"/>
  <c r="C31" i="34"/>
  <c r="C30" i="34"/>
  <c r="C29" i="34"/>
  <c r="C26" i="34"/>
  <c r="C25" i="34"/>
  <c r="C24" i="34"/>
  <c r="C23" i="34"/>
  <c r="C22" i="34"/>
  <c r="C19" i="34"/>
  <c r="C18" i="34"/>
  <c r="C17" i="34"/>
  <c r="C16" i="34"/>
  <c r="C15" i="34"/>
  <c r="C218" i="34"/>
  <c r="C14" i="34" l="1"/>
  <c r="C80" i="34"/>
  <c r="C28" i="34"/>
  <c r="C35" i="34"/>
  <c r="C21" i="34"/>
  <c r="C52" i="34" l="1"/>
  <c r="C53" i="34"/>
  <c r="C54" i="34"/>
  <c r="C148" i="34" l="1"/>
  <c r="C156" i="34" l="1"/>
  <c r="C180" i="34"/>
  <c r="C172" i="34"/>
  <c r="C164" i="34"/>
  <c r="C179" i="34"/>
  <c r="C182" i="34" s="1"/>
  <c r="C171" i="34"/>
  <c r="C174" i="34" s="1"/>
  <c r="C163" i="34"/>
  <c r="C166" i="34" s="1"/>
  <c r="C155" i="34"/>
  <c r="C147" i="34"/>
  <c r="C149" i="34" s="1"/>
  <c r="C158" i="34" l="1"/>
  <c r="C157" i="34"/>
  <c r="C165" i="34"/>
  <c r="C167" i="34" s="1"/>
  <c r="C168" i="34" s="1"/>
  <c r="C150" i="34"/>
  <c r="C173" i="34"/>
  <c r="C175" i="34" s="1"/>
  <c r="C176" i="34" s="1"/>
  <c r="C181" i="34"/>
  <c r="C183" i="34" s="1"/>
  <c r="C184" i="34" s="1"/>
  <c r="C151" i="34" l="1"/>
  <c r="C152" i="34" s="1"/>
  <c r="C159" i="34"/>
  <c r="C160" i="34" s="1"/>
  <c r="C180" i="33"/>
  <c r="C172" i="33"/>
  <c r="C164" i="33"/>
  <c r="C156" i="33"/>
  <c r="C179" i="33"/>
  <c r="C171" i="33"/>
  <c r="C163" i="33"/>
  <c r="C155" i="33"/>
  <c r="C158" i="33" s="1"/>
  <c r="C148" i="33"/>
  <c r="C147" i="33"/>
  <c r="C150" i="33" s="1"/>
  <c r="D12" i="34"/>
  <c r="D11" i="34"/>
  <c r="D10" i="34"/>
  <c r="D9" i="34"/>
  <c r="D8" i="34"/>
  <c r="C181" i="33" l="1"/>
  <c r="C182" i="33"/>
  <c r="C165" i="33"/>
  <c r="C166" i="33"/>
  <c r="C173" i="33"/>
  <c r="C174" i="33"/>
  <c r="C157" i="33"/>
  <c r="C159" i="33" s="1"/>
  <c r="C160" i="33" s="1"/>
  <c r="C149" i="33"/>
  <c r="C151" i="33" s="1"/>
  <c r="C152" i="33" s="1"/>
  <c r="C167" i="33" l="1"/>
  <c r="C168" i="33" s="1"/>
  <c r="C175" i="33"/>
  <c r="C176" i="33" s="1"/>
  <c r="C183" i="33"/>
  <c r="C184" i="33" s="1"/>
  <c r="C19" i="18"/>
  <c r="D19" i="18"/>
  <c r="C12" i="36"/>
  <c r="C197" i="34"/>
  <c r="C198" i="34"/>
  <c r="C199" i="34"/>
  <c r="C200" i="34"/>
  <c r="C222" i="34"/>
  <c r="C221" i="34"/>
  <c r="C220" i="34"/>
  <c r="C219" i="34"/>
  <c r="D141" i="33"/>
  <c r="D140" i="33"/>
  <c r="C99" i="34"/>
  <c r="C98" i="34"/>
  <c r="C97" i="34"/>
  <c r="C96" i="34"/>
  <c r="C95" i="34"/>
  <c r="C92" i="34"/>
  <c r="C91" i="34"/>
  <c r="C90" i="34"/>
  <c r="C89" i="34"/>
  <c r="C88" i="34"/>
  <c r="C76" i="34"/>
  <c r="C75" i="34"/>
  <c r="C74" i="34"/>
  <c r="C73" i="34"/>
  <c r="C72" i="34"/>
  <c r="C69" i="34"/>
  <c r="C68" i="34"/>
  <c r="C67" i="34"/>
  <c r="C66" i="34"/>
  <c r="C65" i="34"/>
  <c r="C62" i="34"/>
  <c r="C61" i="34"/>
  <c r="C60" i="34"/>
  <c r="C59" i="34"/>
  <c r="C58" i="34"/>
  <c r="C55" i="34"/>
  <c r="C51" i="34"/>
  <c r="C48" i="34"/>
  <c r="C47" i="34"/>
  <c r="C46" i="34"/>
  <c r="C45" i="34"/>
  <c r="C44" i="34"/>
  <c r="C23" i="17"/>
  <c r="D27" i="18" l="1"/>
  <c r="E27" i="18"/>
  <c r="G27" i="18"/>
  <c r="F27" i="18"/>
  <c r="C27" i="18"/>
  <c r="D22" i="18"/>
  <c r="E22" i="18"/>
  <c r="C22" i="18"/>
  <c r="G22" i="18"/>
  <c r="F22" i="18"/>
  <c r="C23" i="18"/>
  <c r="D23" i="18"/>
  <c r="G14" i="18"/>
  <c r="F14" i="18"/>
  <c r="E14" i="18"/>
  <c r="D14" i="18"/>
  <c r="C14" i="18"/>
  <c r="F19" i="18" l="1"/>
  <c r="E19" i="18"/>
  <c r="G19" i="18"/>
  <c r="F23" i="18"/>
  <c r="G23" i="18"/>
  <c r="E23" i="18"/>
  <c r="G25" i="18"/>
  <c r="F25" i="18"/>
  <c r="E25" i="18"/>
  <c r="D25" i="18"/>
  <c r="C25" i="18"/>
  <c r="G24" i="18"/>
  <c r="F24" i="18"/>
  <c r="E24" i="18"/>
  <c r="D24" i="18"/>
  <c r="C24" i="18"/>
  <c r="D131" i="33" l="1"/>
  <c r="D132" i="33"/>
  <c r="D133" i="33"/>
  <c r="D134" i="33"/>
  <c r="D133" i="34"/>
  <c r="D134" i="34"/>
  <c r="D135" i="34"/>
  <c r="D131" i="34"/>
  <c r="D114" i="34"/>
  <c r="D115" i="34"/>
  <c r="D116" i="34"/>
  <c r="D117" i="34"/>
  <c r="D113" i="34"/>
  <c r="D105" i="34"/>
  <c r="D106" i="34"/>
  <c r="D107" i="34"/>
  <c r="D108" i="34"/>
  <c r="D104" i="34"/>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C28" i="18"/>
  <c r="G28" i="18"/>
  <c r="F28" i="18"/>
  <c r="E28" i="18"/>
  <c r="D28" i="18"/>
  <c r="G18" i="18"/>
  <c r="F18" i="18"/>
  <c r="E18" i="18"/>
  <c r="D18" i="18"/>
  <c r="C18" i="18"/>
  <c r="G17" i="18"/>
  <c r="F17" i="18"/>
  <c r="E17" i="18"/>
  <c r="D17" i="18"/>
  <c r="C17" i="18"/>
  <c r="G16" i="18"/>
  <c r="F16" i="18"/>
  <c r="E16" i="18"/>
  <c r="D16" i="18"/>
  <c r="C16" i="18"/>
  <c r="G15" i="18"/>
  <c r="F15" i="18"/>
  <c r="E15" i="18"/>
  <c r="D15" i="18"/>
  <c r="C15" i="18"/>
  <c r="G13" i="18"/>
  <c r="F13" i="18"/>
  <c r="E13" i="18"/>
  <c r="D13" i="18"/>
  <c r="C13" i="18"/>
  <c r="C8" i="18" l="1"/>
  <c r="D138" i="33" l="1"/>
  <c r="D139" i="34" l="1"/>
  <c r="H25" i="18" l="1"/>
  <c r="E26" i="19" s="1"/>
  <c r="D11" i="18"/>
  <c r="C83" i="39" l="1"/>
  <c r="B79" i="39"/>
  <c r="B84" i="39" s="1"/>
  <c r="B70" i="39"/>
  <c r="B65" i="39"/>
  <c r="B60" i="39"/>
  <c r="B53" i="39"/>
  <c r="B45" i="39"/>
  <c r="C44" i="39"/>
  <c r="B41" i="39"/>
  <c r="B37" i="39"/>
  <c r="A34" i="39"/>
  <c r="B27" i="39"/>
  <c r="C26" i="39"/>
  <c r="B23" i="39"/>
  <c r="C22" i="39"/>
  <c r="B19" i="39"/>
  <c r="C18" i="39"/>
  <c r="B15" i="39"/>
  <c r="C14" i="39"/>
  <c r="A12" i="39"/>
  <c r="B79" i="38"/>
  <c r="B74" i="38"/>
  <c r="B69" i="38"/>
  <c r="B61" i="38"/>
  <c r="B53" i="38"/>
  <c r="B48" i="38"/>
  <c r="B41" i="38"/>
  <c r="B37" i="38"/>
  <c r="C31" i="38"/>
  <c r="B17" i="38"/>
  <c r="B19" i="38" s="1"/>
  <c r="B9" i="38"/>
  <c r="B14" i="38" s="1"/>
  <c r="C28" i="36"/>
  <c r="C21" i="36"/>
  <c r="A24" i="35"/>
  <c r="A22" i="35"/>
  <c r="D18" i="35"/>
  <c r="A18" i="35"/>
  <c r="C10" i="18" l="1"/>
  <c r="C9" i="18"/>
  <c r="A9" i="32"/>
  <c r="G11" i="18" l="1"/>
  <c r="F11" i="18"/>
  <c r="E11" i="18"/>
  <c r="B18" i="38" l="1"/>
  <c r="B13" i="38"/>
  <c r="B12" i="38"/>
  <c r="B11" i="38"/>
  <c r="B31" i="32"/>
  <c r="H10" i="18" s="1"/>
  <c r="E11" i="19" s="1"/>
  <c r="B23" i="32"/>
  <c r="H9" i="18" s="1"/>
  <c r="E10" i="19" s="1"/>
  <c r="B13" i="32"/>
  <c r="B10" i="38" l="1"/>
  <c r="H8" i="18"/>
  <c r="H11" i="18" l="1"/>
  <c r="E9" i="19"/>
  <c r="E12" i="19" s="1"/>
  <c r="H27" i="18"/>
  <c r="E28" i="19" s="1"/>
  <c r="C20" i="18"/>
  <c r="C3" i="31"/>
  <c r="O20" i="31" l="1"/>
  <c r="N11" i="31"/>
  <c r="N15" i="31"/>
  <c r="O11" i="31"/>
  <c r="O15" i="31"/>
  <c r="N12" i="31"/>
  <c r="N16" i="31"/>
  <c r="O12" i="31"/>
  <c r="O16" i="31"/>
  <c r="N13" i="31"/>
  <c r="N17" i="31"/>
  <c r="N18" i="31"/>
  <c r="N19" i="31"/>
  <c r="O19" i="31"/>
  <c r="N20" i="31"/>
  <c r="O13" i="31"/>
  <c r="O17" i="31"/>
  <c r="N10" i="31"/>
  <c r="N14" i="31"/>
  <c r="O10" i="31"/>
  <c r="O14" i="31"/>
  <c r="O18" i="31"/>
  <c r="A2" i="30"/>
  <c r="A11" i="30" l="1"/>
  <c r="A10" i="30"/>
  <c r="A9" i="30"/>
  <c r="A8" i="30"/>
  <c r="A7" i="30"/>
  <c r="A6" i="30"/>
  <c r="A5" i="30"/>
  <c r="A4" i="30"/>
  <c r="A3" i="30"/>
  <c r="H18" i="18" l="1"/>
  <c r="E19" i="19" s="1"/>
  <c r="H28" i="18"/>
  <c r="E29" i="19" s="1"/>
  <c r="B2" i="28"/>
  <c r="C8" i="28" l="1"/>
  <c r="D29" i="28"/>
  <c r="E29" i="28" s="1"/>
  <c r="D28" i="28"/>
  <c r="E28" i="28" s="1"/>
  <c r="D27" i="28"/>
  <c r="E27" i="28" s="1"/>
  <c r="D24" i="28"/>
  <c r="E24" i="28" s="1"/>
  <c r="D25" i="28"/>
  <c r="E25" i="28" s="1"/>
  <c r="D23" i="28"/>
  <c r="E23" i="28" s="1"/>
  <c r="D8" i="28"/>
  <c r="D30" i="28"/>
  <c r="E30" i="28" s="1"/>
  <c r="D9" i="28"/>
  <c r="C9" i="28"/>
  <c r="C10" i="28"/>
  <c r="D18" i="28"/>
  <c r="D17" i="28"/>
  <c r="D16" i="28"/>
  <c r="D15" i="28"/>
  <c r="D14" i="28"/>
  <c r="C17" i="28"/>
  <c r="C13" i="28"/>
  <c r="C16" i="28"/>
  <c r="C12" i="28"/>
  <c r="C15" i="28"/>
  <c r="C11" i="28"/>
  <c r="D10" i="28"/>
  <c r="C14" i="28"/>
  <c r="D13" i="28"/>
  <c r="D12" i="28"/>
  <c r="D11" i="28"/>
  <c r="C18" i="28"/>
  <c r="B5" i="19" l="1"/>
  <c r="C47" i="19" l="1"/>
  <c r="F35" i="27"/>
  <c r="G35" i="27"/>
  <c r="H35" i="27"/>
  <c r="I35" i="27"/>
  <c r="E35" i="27"/>
  <c r="F34" i="27"/>
  <c r="G34" i="27"/>
  <c r="H34" i="27"/>
  <c r="I34" i="27"/>
  <c r="E34" i="27"/>
  <c r="L11" i="27"/>
  <c r="L19" i="27"/>
  <c r="K11" i="27"/>
  <c r="K19" i="27"/>
  <c r="F36" i="27" l="1"/>
  <c r="H36" i="27"/>
  <c r="I36" i="27"/>
  <c r="E36" i="27"/>
  <c r="G36" i="27"/>
  <c r="K9" i="26" l="1"/>
  <c r="F9" i="26" s="1"/>
  <c r="I8" i="26"/>
  <c r="J8" i="26" s="1"/>
  <c r="H8" i="26"/>
  <c r="F8" i="26"/>
  <c r="G7" i="26"/>
  <c r="E7" i="26"/>
  <c r="F7" i="26" s="1"/>
  <c r="J6" i="26"/>
  <c r="H6" i="26"/>
  <c r="F6" i="26"/>
  <c r="J5" i="26"/>
  <c r="H5" i="26"/>
  <c r="F5" i="26"/>
  <c r="J4" i="26"/>
  <c r="G4" i="26"/>
  <c r="H4" i="26" s="1"/>
  <c r="F4" i="26"/>
  <c r="J3" i="26"/>
  <c r="H3" i="26"/>
  <c r="F3" i="26"/>
  <c r="L17" i="27" l="1"/>
  <c r="I7" i="26"/>
  <c r="J7" i="26" s="1"/>
  <c r="H7" i="26"/>
  <c r="H9" i="26"/>
  <c r="J9" i="26"/>
  <c r="H24" i="18" l="1"/>
  <c r="K17" i="27"/>
  <c r="H15" i="18"/>
  <c r="H14" i="18"/>
  <c r="H30" i="18"/>
  <c r="H31" i="18"/>
  <c r="H29" i="18"/>
  <c r="E30" i="19" s="1"/>
  <c r="H33" i="18"/>
  <c r="C11" i="18"/>
  <c r="C37" i="18" s="1"/>
  <c r="H35" i="18"/>
  <c r="H34" i="18"/>
  <c r="H32" i="18"/>
  <c r="L33" i="27" l="1"/>
  <c r="E36" i="19"/>
  <c r="K32" i="27"/>
  <c r="E35" i="19"/>
  <c r="L29" i="27"/>
  <c r="E32" i="19"/>
  <c r="L14" i="27"/>
  <c r="E16" i="19"/>
  <c r="L28" i="27"/>
  <c r="E31" i="19"/>
  <c r="L30" i="27"/>
  <c r="E33" i="19"/>
  <c r="L31" i="27"/>
  <c r="E34" i="19"/>
  <c r="K13" i="27"/>
  <c r="E15" i="19"/>
  <c r="L22" i="27"/>
  <c r="E25" i="19"/>
  <c r="H23" i="18"/>
  <c r="E24" i="19" s="1"/>
  <c r="K27" i="27"/>
  <c r="K25" i="27"/>
  <c r="L25" i="27"/>
  <c r="K23" i="27"/>
  <c r="L23" i="27"/>
  <c r="K26" i="27"/>
  <c r="L26" i="27"/>
  <c r="K33" i="27" l="1"/>
  <c r="K31" i="27"/>
  <c r="K28" i="27"/>
  <c r="K22" i="27"/>
  <c r="K29" i="27"/>
  <c r="L13" i="27"/>
  <c r="K30" i="27"/>
  <c r="L32" i="27"/>
  <c r="K14" i="27"/>
  <c r="L27" i="27"/>
  <c r="H19" i="18"/>
  <c r="E20" i="19" s="1"/>
  <c r="H22" i="18" l="1"/>
  <c r="L18" i="27"/>
  <c r="H17" i="18"/>
  <c r="H16" i="18"/>
  <c r="L15" i="27" l="1"/>
  <c r="E17" i="19"/>
  <c r="L16" i="27"/>
  <c r="E18" i="19"/>
  <c r="E23" i="19"/>
  <c r="K18" i="27"/>
  <c r="L21" i="27"/>
  <c r="C10" i="27"/>
  <c r="C9" i="27"/>
  <c r="K15" i="27" l="1"/>
  <c r="K16" i="27"/>
  <c r="K21" i="27"/>
  <c r="K10" i="27"/>
  <c r="L10" i="27"/>
  <c r="L9" i="27"/>
  <c r="K9" i="27"/>
  <c r="C8" i="27"/>
  <c r="K8" i="27" s="1"/>
  <c r="L8" i="27" l="1"/>
  <c r="F79" i="15" l="1"/>
  <c r="H80" i="15"/>
  <c r="D78" i="15"/>
  <c r="F75" i="15"/>
  <c r="H76" i="15"/>
  <c r="D74" i="15"/>
  <c r="H72" i="15"/>
  <c r="F71" i="15"/>
  <c r="D70" i="15"/>
  <c r="F67" i="15"/>
  <c r="H68" i="15"/>
  <c r="D66" i="15"/>
  <c r="D62" i="15"/>
  <c r="F63" i="15"/>
  <c r="F59" i="15"/>
  <c r="D58" i="15"/>
  <c r="F55" i="15"/>
  <c r="D54" i="15"/>
  <c r="F51" i="15"/>
  <c r="H52" i="15"/>
  <c r="F47" i="15"/>
  <c r="H48" i="15"/>
  <c r="F35" i="15"/>
  <c r="D34" i="15"/>
  <c r="D42" i="15"/>
  <c r="F43" i="15"/>
  <c r="F39" i="15"/>
  <c r="J73" i="15" l="1"/>
  <c r="E74" i="15" s="1"/>
  <c r="J33" i="15"/>
  <c r="I36" i="15" s="1"/>
  <c r="J57" i="15"/>
  <c r="G59" i="15" s="1"/>
  <c r="J65" i="15"/>
  <c r="I68" i="15" s="1"/>
  <c r="J45" i="15"/>
  <c r="I48" i="15" s="1"/>
  <c r="J61" i="15"/>
  <c r="G63" i="15" s="1"/>
  <c r="J69" i="15"/>
  <c r="G71" i="15" s="1"/>
  <c r="J41" i="15"/>
  <c r="E42" i="15" s="1"/>
  <c r="G75" i="15"/>
  <c r="J37" i="15"/>
  <c r="E38" i="15" s="1"/>
  <c r="J53" i="15"/>
  <c r="E54" i="15" s="1"/>
  <c r="J49" i="15"/>
  <c r="E50" i="15" s="1"/>
  <c r="J77" i="15"/>
  <c r="G79" i="15" s="1"/>
  <c r="F31" i="15"/>
  <c r="D30" i="15"/>
  <c r="F27" i="15"/>
  <c r="D26" i="15"/>
  <c r="F23" i="15"/>
  <c r="D22" i="15"/>
  <c r="E58" i="15" l="1"/>
  <c r="E34" i="15"/>
  <c r="G35" i="15"/>
  <c r="E70" i="15"/>
  <c r="E46" i="15"/>
  <c r="G67" i="15"/>
  <c r="I76" i="15"/>
  <c r="I72" i="15"/>
  <c r="E66" i="15"/>
  <c r="G47" i="15"/>
  <c r="G43" i="15"/>
  <c r="E62" i="15"/>
  <c r="J29" i="15"/>
  <c r="I32" i="15" s="1"/>
  <c r="J25" i="15"/>
  <c r="G27" i="15" s="1"/>
  <c r="I80" i="15"/>
  <c r="E78" i="15"/>
  <c r="J21" i="15"/>
  <c r="G23" i="15" s="1"/>
  <c r="G55" i="15"/>
  <c r="G51" i="15"/>
  <c r="G39" i="15"/>
  <c r="I52" i="15"/>
  <c r="D18" i="15"/>
  <c r="F19" i="15"/>
  <c r="F15" i="15"/>
  <c r="H16" i="15"/>
  <c r="D14" i="15"/>
  <c r="G31" i="15" l="1"/>
  <c r="E30" i="15"/>
  <c r="J13" i="15"/>
  <c r="I16" i="15" s="1"/>
  <c r="E26" i="15"/>
  <c r="J17" i="15"/>
  <c r="I20" i="15" s="1"/>
  <c r="E22" i="15"/>
  <c r="J11" i="15"/>
  <c r="E11" i="15" s="1"/>
  <c r="H10" i="15"/>
  <c r="I10" i="15" s="1"/>
  <c r="G10" i="15"/>
  <c r="E10" i="15"/>
  <c r="F9" i="15"/>
  <c r="D9" i="15"/>
  <c r="E9" i="15" s="1"/>
  <c r="I5" i="15"/>
  <c r="G5" i="15"/>
  <c r="E5" i="15"/>
  <c r="I4" i="15"/>
  <c r="G4" i="15"/>
  <c r="E4" i="15"/>
  <c r="I3" i="15"/>
  <c r="F3" i="15"/>
  <c r="G3" i="15" s="1"/>
  <c r="E3" i="15"/>
  <c r="I2" i="15"/>
  <c r="G2" i="15"/>
  <c r="E2" i="15"/>
  <c r="G15" i="15" l="1"/>
  <c r="E14" i="15"/>
  <c r="G11" i="15"/>
  <c r="I11" i="15"/>
  <c r="H9" i="15"/>
  <c r="I9" i="15" s="1"/>
  <c r="G19" i="15"/>
  <c r="E18" i="15"/>
  <c r="G9" i="15"/>
  <c r="M42" i="1"/>
  <c r="M41" i="1"/>
  <c r="M40" i="1"/>
  <c r="G35" i="1"/>
  <c r="L22" i="1" s="1"/>
  <c r="F35" i="1"/>
  <c r="K28" i="1" s="1"/>
  <c r="E35" i="1"/>
  <c r="J22" i="1" s="1"/>
  <c r="D35" i="1"/>
  <c r="I22" i="1" s="1"/>
  <c r="C35" i="1"/>
  <c r="O42" i="1" s="1"/>
  <c r="P34" i="1"/>
  <c r="N33" i="1"/>
  <c r="N32" i="1"/>
  <c r="L32" i="1"/>
  <c r="N30" i="1"/>
  <c r="N27" i="1"/>
  <c r="N26" i="1"/>
  <c r="N25" i="1"/>
  <c r="G19" i="1"/>
  <c r="L18" i="1" s="1"/>
  <c r="F19" i="1"/>
  <c r="K18" i="1" s="1"/>
  <c r="E19" i="1"/>
  <c r="J18" i="1" s="1"/>
  <c r="D19" i="1"/>
  <c r="I18" i="1" s="1"/>
  <c r="C19" i="1"/>
  <c r="H18" i="1" s="1"/>
  <c r="N18" i="1"/>
  <c r="L17" i="1"/>
  <c r="K17" i="1"/>
  <c r="J17" i="1"/>
  <c r="I17" i="1"/>
  <c r="H17" i="1"/>
  <c r="M16" i="1"/>
  <c r="L16" i="1"/>
  <c r="K16" i="1"/>
  <c r="J16" i="1"/>
  <c r="I16" i="1"/>
  <c r="H16" i="1"/>
  <c r="L15" i="1"/>
  <c r="K15" i="1"/>
  <c r="J15" i="1"/>
  <c r="I15" i="1"/>
  <c r="H15" i="1"/>
  <c r="L14" i="1"/>
  <c r="K14" i="1"/>
  <c r="J14" i="1"/>
  <c r="I14" i="1"/>
  <c r="H14" i="1"/>
  <c r="L13" i="1"/>
  <c r="K13" i="1"/>
  <c r="J13" i="1"/>
  <c r="I13" i="1"/>
  <c r="H13" i="1"/>
  <c r="N12" i="1"/>
  <c r="M12" i="1"/>
  <c r="L12" i="1"/>
  <c r="K12" i="1"/>
  <c r="J12" i="1"/>
  <c r="I12" i="1"/>
  <c r="H12" i="1"/>
  <c r="N9" i="1"/>
  <c r="O8" i="1" s="1"/>
  <c r="P8" i="1" s="1"/>
  <c r="G9" i="1"/>
  <c r="L7" i="1" s="1"/>
  <c r="F9" i="1"/>
  <c r="K6" i="1" s="1"/>
  <c r="E9" i="1"/>
  <c r="D9" i="1"/>
  <c r="I6" i="1" s="1"/>
  <c r="C9" i="1"/>
  <c r="H8" i="1" s="1"/>
  <c r="K22" i="1" l="1"/>
  <c r="K29" i="1"/>
  <c r="K32" i="1"/>
  <c r="L26" i="1"/>
  <c r="L29" i="1"/>
  <c r="J25" i="1"/>
  <c r="K31" i="1"/>
  <c r="L24" i="1"/>
  <c r="L25" i="1"/>
  <c r="L21" i="1"/>
  <c r="L23" i="1"/>
  <c r="E37" i="1"/>
  <c r="K25" i="1"/>
  <c r="K21" i="1"/>
  <c r="G83" i="15"/>
  <c r="J28" i="1"/>
  <c r="H32" i="1"/>
  <c r="H24" i="1"/>
  <c r="J24" i="1"/>
  <c r="J31" i="1"/>
  <c r="H29" i="1"/>
  <c r="H26" i="1"/>
  <c r="H22" i="1"/>
  <c r="N19" i="1"/>
  <c r="O17" i="1" s="1"/>
  <c r="P17" i="1" s="1"/>
  <c r="H25" i="1"/>
  <c r="H27" i="1"/>
  <c r="H30" i="1"/>
  <c r="H33" i="1"/>
  <c r="H28" i="1"/>
  <c r="H31" i="1"/>
  <c r="D36" i="1"/>
  <c r="J6" i="1"/>
  <c r="L6" i="1"/>
  <c r="L8" i="1"/>
  <c r="H21" i="1"/>
  <c r="H23" i="1"/>
  <c r="H34" i="1"/>
  <c r="I28" i="1"/>
  <c r="I31" i="1"/>
  <c r="E36" i="1"/>
  <c r="E39" i="1" s="1"/>
  <c r="I24" i="1"/>
  <c r="I34" i="1"/>
  <c r="F36" i="1"/>
  <c r="I21" i="1"/>
  <c r="I27" i="1"/>
  <c r="I30" i="1"/>
  <c r="J34" i="1"/>
  <c r="G36" i="1"/>
  <c r="J21" i="1"/>
  <c r="K24" i="1"/>
  <c r="J27" i="1"/>
  <c r="L28" i="1"/>
  <c r="J30" i="1"/>
  <c r="L31" i="1"/>
  <c r="I33" i="1"/>
  <c r="K34" i="1"/>
  <c r="D38" i="1"/>
  <c r="J7" i="1"/>
  <c r="I23" i="1"/>
  <c r="I26" i="1"/>
  <c r="K27" i="1"/>
  <c r="K30" i="1"/>
  <c r="J33" i="1"/>
  <c r="L34" i="1"/>
  <c r="E38" i="1"/>
  <c r="J23" i="1"/>
  <c r="J26" i="1"/>
  <c r="L27" i="1"/>
  <c r="I29" i="1"/>
  <c r="L30" i="1"/>
  <c r="I32" i="1"/>
  <c r="K33" i="1"/>
  <c r="F38" i="1"/>
  <c r="K7" i="1"/>
  <c r="J8" i="1"/>
  <c r="K23" i="1"/>
  <c r="I25" i="1"/>
  <c r="K26" i="1"/>
  <c r="J29" i="1"/>
  <c r="J32" i="1"/>
  <c r="L33" i="1"/>
  <c r="O7" i="1"/>
  <c r="P7" i="1" s="1"/>
  <c r="O6" i="1"/>
  <c r="N40" i="1"/>
  <c r="C37" i="1"/>
  <c r="O40" i="1"/>
  <c r="D37" i="1"/>
  <c r="H7" i="1"/>
  <c r="I8" i="1"/>
  <c r="C36" i="1"/>
  <c r="G38" i="1"/>
  <c r="H6" i="1"/>
  <c r="I7" i="1"/>
  <c r="F37" i="1"/>
  <c r="K8" i="1"/>
  <c r="N21" i="1"/>
  <c r="G37" i="1"/>
  <c r="C38" i="1"/>
  <c r="D39" i="1" l="1"/>
  <c r="F40" i="1"/>
  <c r="F39" i="1"/>
  <c r="O12" i="1"/>
  <c r="P12" i="1" s="1"/>
  <c r="O15" i="1"/>
  <c r="P15" i="1" s="1"/>
  <c r="G39" i="1"/>
  <c r="N41" i="1"/>
  <c r="D40" i="1"/>
  <c r="O41" i="1"/>
  <c r="O48" i="1" s="1"/>
  <c r="O16" i="1"/>
  <c r="P16" i="1" s="1"/>
  <c r="G40" i="1"/>
  <c r="N37" i="1"/>
  <c r="O9" i="1"/>
  <c r="P9" i="1" s="1"/>
  <c r="E40" i="1"/>
  <c r="P6" i="1"/>
  <c r="P21" i="1"/>
  <c r="N35" i="1"/>
  <c r="C39" i="1"/>
  <c r="C40" i="1"/>
  <c r="O45" i="1" l="1"/>
  <c r="O43" i="1"/>
  <c r="O44" i="1"/>
  <c r="O30" i="1"/>
  <c r="P30" i="1" s="1"/>
  <c r="N42" i="1"/>
  <c r="O27" i="1"/>
  <c r="P27" i="1" s="1"/>
  <c r="O26" i="1"/>
  <c r="P26" i="1" s="1"/>
  <c r="O25" i="1"/>
  <c r="P25" i="1" s="1"/>
  <c r="N38" i="1"/>
  <c r="N36" i="1"/>
  <c r="O18" i="1" s="1"/>
  <c r="P18" i="1" s="1"/>
  <c r="O32" i="1"/>
  <c r="O33" i="1"/>
  <c r="P33" i="1" s="1"/>
  <c r="O21" i="1"/>
  <c r="O35" i="1" l="1"/>
  <c r="P35" i="1" s="1"/>
  <c r="N48" i="1"/>
  <c r="N45" i="1"/>
  <c r="N44" i="1"/>
  <c r="N43" i="1"/>
  <c r="C43" i="10" l="1"/>
  <c r="C42" i="10"/>
  <c r="C41" i="10"/>
  <c r="H36" i="10"/>
  <c r="G36" i="10"/>
  <c r="F36" i="10"/>
  <c r="E36" i="10"/>
  <c r="D36" i="10"/>
  <c r="I35" i="10"/>
  <c r="D36" i="19" s="1"/>
  <c r="I34" i="10"/>
  <c r="D35" i="19" s="1"/>
  <c r="I33" i="10"/>
  <c r="D34" i="19" s="1"/>
  <c r="I32" i="10"/>
  <c r="D33" i="19" s="1"/>
  <c r="I31" i="10"/>
  <c r="D32" i="19" s="1"/>
  <c r="I30" i="10"/>
  <c r="D31" i="19" s="1"/>
  <c r="I29" i="10"/>
  <c r="D30" i="19" s="1"/>
  <c r="I28" i="10"/>
  <c r="D29" i="19" s="1"/>
  <c r="I27" i="10"/>
  <c r="D28" i="19" s="1"/>
  <c r="I26" i="10"/>
  <c r="D27" i="19" s="1"/>
  <c r="I25" i="10"/>
  <c r="D26" i="19" s="1"/>
  <c r="I24" i="10"/>
  <c r="D25" i="19" s="1"/>
  <c r="I23" i="10"/>
  <c r="D24" i="19" s="1"/>
  <c r="I22" i="10"/>
  <c r="D23" i="19" s="1"/>
  <c r="D19" i="10"/>
  <c r="I18" i="10"/>
  <c r="D16" i="10"/>
  <c r="I16" i="10" s="1"/>
  <c r="I15" i="10"/>
  <c r="D20" i="19" s="1"/>
  <c r="I14" i="10"/>
  <c r="D18" i="19" s="1"/>
  <c r="I13" i="10"/>
  <c r="D17" i="19" s="1"/>
  <c r="I12" i="10"/>
  <c r="D16" i="19" s="1"/>
  <c r="I11" i="10"/>
  <c r="D15" i="19" s="1"/>
  <c r="I10" i="10"/>
  <c r="D14" i="19" s="1"/>
  <c r="D8" i="10"/>
  <c r="I8" i="10" s="1"/>
  <c r="D41" i="10" s="1"/>
  <c r="I7" i="10"/>
  <c r="D11" i="19" s="1"/>
  <c r="I6" i="10"/>
  <c r="D10" i="19" s="1"/>
  <c r="I5" i="10"/>
  <c r="D9" i="19" s="1"/>
  <c r="C11" i="9"/>
  <c r="C9" i="9"/>
  <c r="I19" i="10" l="1"/>
  <c r="I20" i="10" s="1"/>
  <c r="I37" i="10" s="1"/>
  <c r="D21" i="19"/>
  <c r="D37" i="19"/>
  <c r="D12" i="19"/>
  <c r="D47" i="19" s="1"/>
  <c r="F11" i="9"/>
  <c r="F9" i="9"/>
  <c r="D9" i="9"/>
  <c r="D11" i="9"/>
  <c r="E11" i="9"/>
  <c r="E9" i="9"/>
  <c r="D20" i="10"/>
  <c r="D37" i="10" s="1"/>
  <c r="I36" i="10"/>
  <c r="D43" i="10" s="1"/>
  <c r="D38" i="19" l="1"/>
  <c r="D49" i="19"/>
  <c r="D48" i="19"/>
  <c r="I38" i="10"/>
  <c r="D44" i="10" s="1"/>
  <c r="E43" i="10" s="1"/>
  <c r="D42" i="10"/>
  <c r="H70" i="5"/>
  <c r="H71" i="5"/>
  <c r="H62" i="5"/>
  <c r="H63" i="5"/>
  <c r="H64" i="5"/>
  <c r="H65" i="5"/>
  <c r="H66" i="5"/>
  <c r="H67" i="5"/>
  <c r="H68" i="5"/>
  <c r="H69" i="5"/>
  <c r="H76" i="5"/>
  <c r="H77" i="5"/>
  <c r="H79" i="5"/>
  <c r="G71" i="5"/>
  <c r="G62" i="5"/>
  <c r="G64" i="5"/>
  <c r="G65" i="5"/>
  <c r="G66" i="5"/>
  <c r="G68" i="5"/>
  <c r="G69" i="5"/>
  <c r="G76" i="5"/>
  <c r="G77" i="5"/>
  <c r="G78" i="5"/>
  <c r="G79" i="5"/>
  <c r="F70" i="5"/>
  <c r="F71" i="5"/>
  <c r="F64" i="5"/>
  <c r="F65" i="5"/>
  <c r="F66" i="5"/>
  <c r="F67" i="5"/>
  <c r="F68" i="5"/>
  <c r="F69" i="5"/>
  <c r="F76" i="5"/>
  <c r="F77" i="5"/>
  <c r="F78" i="5"/>
  <c r="F79" i="5"/>
  <c r="E70" i="5"/>
  <c r="E71" i="5"/>
  <c r="E62" i="5"/>
  <c r="E63" i="5"/>
  <c r="E64" i="5"/>
  <c r="E65" i="5"/>
  <c r="E66" i="5"/>
  <c r="E67" i="5"/>
  <c r="E68" i="5"/>
  <c r="E69" i="5"/>
  <c r="E76" i="5"/>
  <c r="E77" i="5"/>
  <c r="E78" i="5"/>
  <c r="E79" i="5"/>
  <c r="D70" i="5"/>
  <c r="D71" i="5"/>
  <c r="D62" i="5"/>
  <c r="D63" i="5"/>
  <c r="D64" i="5"/>
  <c r="D65" i="5"/>
  <c r="D66" i="5"/>
  <c r="D67" i="5"/>
  <c r="D76" i="5"/>
  <c r="D77" i="5"/>
  <c r="D78" i="5"/>
  <c r="D79" i="5"/>
  <c r="B81" i="5"/>
  <c r="B80" i="5"/>
  <c r="B79" i="5"/>
  <c r="B78" i="5"/>
  <c r="B77" i="5"/>
  <c r="B76" i="5"/>
  <c r="I72" i="5"/>
  <c r="D68" i="5"/>
  <c r="G63" i="5"/>
  <c r="H57" i="5"/>
  <c r="G40" i="5"/>
  <c r="F57" i="5"/>
  <c r="E57" i="5"/>
  <c r="D57" i="5"/>
  <c r="B46" i="5"/>
  <c r="B45" i="5"/>
  <c r="B44" i="5"/>
  <c r="B43" i="5"/>
  <c r="B42" i="5"/>
  <c r="B41" i="5"/>
  <c r="I85" i="3"/>
  <c r="I81" i="3"/>
  <c r="I82" i="3"/>
  <c r="H85" i="3"/>
  <c r="H81" i="3"/>
  <c r="H82" i="3"/>
  <c r="G85" i="3"/>
  <c r="G81" i="3"/>
  <c r="G82" i="3"/>
  <c r="F85" i="3"/>
  <c r="F81" i="3"/>
  <c r="F82" i="3"/>
  <c r="E85" i="3"/>
  <c r="E81" i="3"/>
  <c r="E82" i="3"/>
  <c r="G71" i="3"/>
  <c r="E41" i="10" l="1"/>
  <c r="E42" i="10"/>
  <c r="I86" i="3"/>
  <c r="I87" i="3" s="1"/>
  <c r="H86" i="3"/>
  <c r="H87" i="3" s="1"/>
  <c r="E86" i="3"/>
  <c r="E87" i="3" s="1"/>
  <c r="F86" i="3"/>
  <c r="F87" i="3" s="1"/>
  <c r="G86" i="3"/>
  <c r="G87" i="3" s="1"/>
  <c r="F80" i="5"/>
  <c r="F81" i="5" s="1"/>
  <c r="H40" i="5"/>
  <c r="H60" i="5"/>
  <c r="I19" i="5"/>
  <c r="I21" i="5"/>
  <c r="I12" i="5"/>
  <c r="F62" i="5"/>
  <c r="I62" i="5" s="1"/>
  <c r="I28" i="5"/>
  <c r="F60" i="5"/>
  <c r="I18" i="5"/>
  <c r="I17" i="5"/>
  <c r="I77" i="5"/>
  <c r="F11" i="5"/>
  <c r="F61" i="5" s="1"/>
  <c r="I14" i="5"/>
  <c r="I9" i="5"/>
  <c r="I27" i="5"/>
  <c r="I66" i="5"/>
  <c r="D69" i="5"/>
  <c r="I69" i="5" s="1"/>
  <c r="D80" i="5"/>
  <c r="I59" i="5"/>
  <c r="G70" i="5"/>
  <c r="I70" i="5" s="1"/>
  <c r="I10" i="5"/>
  <c r="I29" i="5"/>
  <c r="G67" i="5"/>
  <c r="I67" i="5" s="1"/>
  <c r="D40" i="5"/>
  <c r="G57" i="5"/>
  <c r="I71" i="5"/>
  <c r="I13" i="5"/>
  <c r="E60" i="5"/>
  <c r="E11" i="5"/>
  <c r="E61" i="5" s="1"/>
  <c r="E80" i="5"/>
  <c r="E81" i="5" s="1"/>
  <c r="G11" i="5"/>
  <c r="G61" i="5" s="1"/>
  <c r="I68" i="5"/>
  <c r="F63" i="5"/>
  <c r="I63" i="5" s="1"/>
  <c r="G80" i="5"/>
  <c r="G81" i="5" s="1"/>
  <c r="I26" i="5"/>
  <c r="D11" i="5"/>
  <c r="D61" i="5" s="1"/>
  <c r="I16" i="5"/>
  <c r="I79" i="5"/>
  <c r="H80" i="5"/>
  <c r="I76" i="5"/>
  <c r="H32" i="5"/>
  <c r="I64" i="5"/>
  <c r="I20" i="5"/>
  <c r="H11" i="5"/>
  <c r="H23" i="5" s="1"/>
  <c r="E40" i="5"/>
  <c r="I42" i="5"/>
  <c r="F40" i="5"/>
  <c r="D32" i="5"/>
  <c r="D60" i="5"/>
  <c r="G60" i="5"/>
  <c r="H78" i="5"/>
  <c r="I78" i="5" s="1"/>
  <c r="E44" i="10" l="1"/>
  <c r="I45" i="5"/>
  <c r="F32" i="5"/>
  <c r="E73" i="5"/>
  <c r="E83" i="5" s="1"/>
  <c r="D73" i="5"/>
  <c r="F73" i="5"/>
  <c r="F83" i="5" s="1"/>
  <c r="I46" i="5"/>
  <c r="E32" i="5"/>
  <c r="F23" i="5"/>
  <c r="E23" i="5"/>
  <c r="F48" i="5"/>
  <c r="H34" i="5"/>
  <c r="I31" i="5"/>
  <c r="H81" i="5"/>
  <c r="I80" i="5"/>
  <c r="G73" i="5"/>
  <c r="G83" i="5" s="1"/>
  <c r="D81" i="5"/>
  <c r="I11" i="5"/>
  <c r="D23" i="5"/>
  <c r="D34" i="5" s="1"/>
  <c r="G23" i="5"/>
  <c r="G32" i="5"/>
  <c r="I60" i="5"/>
  <c r="H48" i="5"/>
  <c r="H61" i="5"/>
  <c r="H73" i="5" s="1"/>
  <c r="I41" i="5"/>
  <c r="F34" i="5" l="1"/>
  <c r="E34" i="5"/>
  <c r="E48" i="5"/>
  <c r="I61" i="5"/>
  <c r="I81" i="5"/>
  <c r="I23" i="5"/>
  <c r="H83" i="5"/>
  <c r="I32" i="5"/>
  <c r="D83" i="5"/>
  <c r="I43" i="5"/>
  <c r="G48" i="5"/>
  <c r="G34" i="5"/>
  <c r="I73" i="5"/>
  <c r="I44" i="5"/>
  <c r="D48" i="5"/>
  <c r="I34" i="5" l="1"/>
  <c r="I48" i="5"/>
  <c r="J43" i="5" s="1"/>
  <c r="I83" i="5"/>
  <c r="J44" i="5" l="1"/>
  <c r="J42" i="5"/>
  <c r="J45" i="5"/>
  <c r="J46" i="5"/>
  <c r="J48" i="5"/>
  <c r="I50" i="5"/>
  <c r="J41" i="5"/>
  <c r="G20" i="18" l="1"/>
  <c r="G37" i="18" s="1"/>
  <c r="F20" i="18"/>
  <c r="F37" i="18" s="1"/>
  <c r="E20" i="18"/>
  <c r="E37" i="18" s="1"/>
  <c r="H13" i="18" l="1"/>
  <c r="E14" i="19" s="1"/>
  <c r="E21" i="19" s="1"/>
  <c r="D20" i="18"/>
  <c r="D37" i="18" s="1"/>
  <c r="F20" i="19" l="1"/>
  <c r="C48" i="19"/>
  <c r="F15" i="19"/>
  <c r="K12" i="27"/>
  <c r="H20" i="18"/>
  <c r="H37" i="18" s="1"/>
  <c r="C35" i="27" s="1"/>
  <c r="F14" i="19"/>
  <c r="L12" i="27" l="1"/>
  <c r="K35" i="27"/>
  <c r="L35" i="27"/>
  <c r="L20" i="27" l="1"/>
  <c r="K20" i="27"/>
  <c r="C26" i="18" l="1"/>
  <c r="D26" i="18"/>
  <c r="D36" i="18" s="1"/>
  <c r="D38" i="18" s="1"/>
  <c r="E26" i="18"/>
  <c r="E36" i="18" s="1"/>
  <c r="E38" i="18" s="1"/>
  <c r="F26" i="18"/>
  <c r="F36" i="18" s="1"/>
  <c r="F38" i="18" s="1"/>
  <c r="G26" i="18"/>
  <c r="G36" i="18" s="1"/>
  <c r="G38" i="18" s="1"/>
  <c r="C36" i="18" l="1"/>
  <c r="C38" i="18" s="1"/>
  <c r="H38" i="18" s="1"/>
  <c r="C36" i="27" s="1"/>
  <c r="L36" i="27" s="1"/>
  <c r="H26" i="18"/>
  <c r="K36" i="27" l="1"/>
  <c r="H36" i="18"/>
  <c r="C34" i="27" s="1"/>
  <c r="E27" i="19"/>
  <c r="E37" i="19" l="1"/>
  <c r="E38" i="19" s="1"/>
  <c r="L34" i="27"/>
  <c r="K34" i="27"/>
  <c r="K24" i="27"/>
  <c r="L24" i="27"/>
  <c r="F27" i="19" l="1"/>
  <c r="C49" i="19"/>
  <c r="F37" i="19"/>
  <c r="F31" i="19"/>
  <c r="F29" i="19"/>
  <c r="F34" i="19"/>
  <c r="F30" i="19"/>
  <c r="F25" i="19"/>
  <c r="F28" i="19"/>
  <c r="F33" i="19"/>
  <c r="F23" i="19"/>
  <c r="F24" i="19"/>
  <c r="F32" i="19"/>
  <c r="F26" i="19"/>
  <c r="F36" i="19"/>
  <c r="F35" i="19"/>
  <c r="F12" i="19" l="1"/>
  <c r="F2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 Basith Shaukath</author>
  </authors>
  <commentList>
    <comment ref="B9" authorId="0" shapeId="0" xr:uid="{00000000-0006-0000-1300-000001000000}">
      <text>
        <r>
          <rPr>
            <sz val="10"/>
            <color rgb="FF000000"/>
            <rFont val="Tahoma"/>
            <family val="2"/>
          </rPr>
          <t>Note: This tool is only intended to be used in countries with lower digital health market maturity (1 - 3). Only those countries are included in the dropdown option.</t>
        </r>
      </text>
    </comment>
    <comment ref="B10" authorId="0" shapeId="0" xr:uid="{00000000-0006-0000-1300-000002000000}">
      <text>
        <r>
          <rPr>
            <sz val="10"/>
            <color rgb="FF000000"/>
            <rFont val="Tahoma"/>
            <family val="2"/>
          </rPr>
          <t xml:space="preserve">Entry should be a number. </t>
        </r>
      </text>
    </comment>
    <comment ref="B12" authorId="0" shapeId="0" xr:uid="{00000000-0006-0000-1300-000003000000}">
      <text>
        <r>
          <rPr>
            <sz val="10"/>
            <color rgb="FF000000"/>
            <rFont val="Tahoma"/>
            <family val="2"/>
          </rPr>
          <t>The discount rate is used to calculate present value of the implementation over five years. A 3% annual discount rate is consistent with global health evaluations, but another rate can be selected.</t>
        </r>
      </text>
    </comment>
    <comment ref="B14" authorId="0" shapeId="0" xr:uid="{00000000-0006-0000-1300-000004000000}">
      <text>
        <r>
          <rPr>
            <sz val="10"/>
            <color rgb="FF000000"/>
            <rFont val="Tahoma"/>
            <family val="2"/>
          </rPr>
          <t>A 20% replacement is consistent with other digital health implementations but should be adjusted based on experience (appropriate range is generally 10-25%). A 20% replacement rate means that on average equipment needs to be replaced every 5 years but replacement costs are assumed to be incurred every year to replace damaged or broken equipment</t>
        </r>
      </text>
    </comment>
    <comment ref="B16" authorId="0" shapeId="0" xr:uid="{00000000-0006-0000-1300-000005000000}">
      <text>
        <r>
          <rPr>
            <sz val="10"/>
            <color rgb="FF000000"/>
            <rFont val="Tahoma"/>
            <family val="2"/>
          </rPr>
          <t>The server hosting model is the infrastructure where the system’s central software resides. This TCO tool assumes the implementation will be hosted on a local server (at the site of the user), offsite at a central data center, or on a third-party cloud service (such as Amazon Web Services) with adequate stability, security, and infrastructure</t>
        </r>
      </text>
    </comment>
    <comment ref="B18" authorId="0" shapeId="0" xr:uid="{00000000-0006-0000-1300-000006000000}">
      <text>
        <r>
          <rPr>
            <sz val="10"/>
            <color rgb="FF000000"/>
            <rFont val="Tahoma"/>
            <family val="2"/>
          </rPr>
          <t>If self-hosting, consider the following costs: 1) Cost of the server, 2) Full-time dev ops engineer at 0.5 FTE/server, 3) Privacy auditing infrastructure, 4)Active security and intrusion detection, 5) High-speed internet, 6) Installation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tc={CCBFAEB8-58C0-4147-AA84-E31EE63BA0AF}</author>
  </authors>
  <commentList>
    <comment ref="A28" authorId="0" shapeId="0" xr:uid="{00000000-0006-0000-1900-000001000000}">
      <text>
        <t>[Threaded comment]
Your version of Excel allows you to read this threaded comment; however, any edits to it will get removed if the file is opened in a newer version of Excel. Learn more: https://go.microsoft.com/fwlink/?linkid=870924
Comment:
    Instead of some of these scenarios, could simply have notes next to each option so the tool itself would not adjust but the user could see how costs would change based on these options.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Audrey Philippot</author>
  </authors>
  <commentList>
    <comment ref="C85" authorId="0" shapeId="0" xr:uid="{00000000-0006-0000-1F00-000001000000}">
      <text>
        <r>
          <rPr>
            <sz val="9"/>
            <color indexed="81"/>
            <rFont val="Calibri"/>
            <family val="2"/>
          </rPr>
          <t xml:space="preserve">
Enterprise pricing depends on the number of project spaces included. The amount mentioned here would only be an illustrative , if you have selected "Enterprise" in row 15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Audrey Philippot</author>
  </authors>
  <commentList>
    <comment ref="B10" authorId="0" shapeId="0" xr:uid="{00000000-0006-0000-2000-000001000000}">
      <text>
        <r>
          <rPr>
            <b/>
            <sz val="9"/>
            <color indexed="81"/>
            <rFont val="Calibri"/>
            <family val="2"/>
          </rPr>
          <t>Audrey Philippot:</t>
        </r>
        <r>
          <rPr>
            <sz val="9"/>
            <color indexed="81"/>
            <rFont val="Calibri"/>
            <family val="2"/>
          </rPr>
          <t xml:space="preserve">
Project Manager, Field Manager, [Insert type] staff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tc={0DB25C53-72D3-4912-8133-EB6785EC099A}</author>
    <author>tc={85F5E5B9-03D5-490D-BF84-34CB5E36F4E7}</author>
  </authors>
  <commentList>
    <comment ref="G1" authorId="0"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There are more details in the Excel document (https://path.ent.box.com/file/756319051601?s=jaq3x54uwhr3m8n1y9bwdsspy9582nr0) and the report which I believe are linked (https://path.ent.box.com/file/756317862355?s=505jnhxy8fkcug44tkbf74bnwhw3aoph). I added what seemed reasonable from these documents. The report also has which costs will be different based on build/buy/outsource.</t>
      </text>
    </comment>
    <comment ref="K1" authorId="1"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I had a hard time mapping these to the other ones since the categories are so broad and cross cutting.</t>
      </text>
    </comment>
  </commentList>
</comments>
</file>

<file path=xl/sharedStrings.xml><?xml version="1.0" encoding="utf-8"?>
<sst xmlns="http://schemas.openxmlformats.org/spreadsheetml/2006/main" count="3038" uniqueCount="1822">
  <si>
    <t>Project Management</t>
  </si>
  <si>
    <t>Project management activities for project scoping, planning, final signoff, procurement, and change management. Collaboration with stakeholders to set the overall vision and strategy. Create detailed project workplan and timeline. Finalize budget and obtain stakeholder approval.  Contracting, including identifying requirements, creating RFP, evaluation RFP, and contract negotiation with software implementers and hardware vendors. Identify expected business process and staffing changes as a result of the implementation.</t>
  </si>
  <si>
    <t>Needs Assessment and Requirements Specifications</t>
  </si>
  <si>
    <t xml:space="preserve">Software Development </t>
  </si>
  <si>
    <t>Software development and adaptation of the core software to enable country-level project needs or functionality that may not yet be supported.  Customization may be necessary to allow integration or interoperability with other health IT systems at the country level.  This customization could be performed by the primary global goods platform, implementation vendor, or project team. Localization may be necessary specific location, such as language adaptations or specialized terminology.</t>
  </si>
  <si>
    <t>Equipment</t>
  </si>
  <si>
    <t>Centralized capital equipment as well as distributed equipment. Equipment budgets should also account for failover redundancy and disaster recovery.</t>
  </si>
  <si>
    <t>Infrastructure</t>
  </si>
  <si>
    <t>Infrastructure costs includes electricity, data center hosting, and connectivity (e.g., internet access, SMS costs, backup generator costs).</t>
  </si>
  <si>
    <t>Implementation Services</t>
  </si>
  <si>
    <t>Includes initial configuration of settings and user accounts, plus data configuration such as migration of data and setup of custom schemes and/or data types.</t>
  </si>
  <si>
    <t>Integration and Interoperability</t>
  </si>
  <si>
    <t>Labor necessary to set up communication and standards compliance between system and existing systems. This category covers configuration and implementation work. If the software is not capable of communicating with existing software, adaptation is covered under software the customization bucket.</t>
  </si>
  <si>
    <t>New Deployment Training</t>
  </si>
  <si>
    <t>Costs associated with the development of a training framework, Standard Operating Procedure (SOP), training curriculum and material, eLearning platform, and a train-the-trainers program for all facilities that still require training.</t>
  </si>
  <si>
    <t>Software Development</t>
  </si>
  <si>
    <t>Development costs for major modifications or scope expansion, includes software development costs post initial deployment and ongoing product expansion.</t>
  </si>
  <si>
    <t>Scaling</t>
  </si>
  <si>
    <t xml:space="preserve">Defining the scope of expansion and deployment activities. Identify expected business process and required staffing changes. Costs to further deploy the solution includes all deployment phase activities. All Phase II Deployment activities and costs. </t>
  </si>
  <si>
    <t>Equipment Replacement</t>
  </si>
  <si>
    <t xml:space="preserve">Computer hardware is often replaced once it becomes obsolete.  This cost can be estimated for most equipment based on expected useful life. </t>
  </si>
  <si>
    <t xml:space="preserve"> Infrastructure Replacement</t>
  </si>
  <si>
    <t>Infrastructure costs includes electricity, data center hosting, and connectivity (e.g., internet access, SMS costs, backup generator costs, etc.).</t>
  </si>
  <si>
    <t>Software Licensing and Subscriptions</t>
  </si>
  <si>
    <t>Includes recurring software licensing costs. If the system is a global good costs are typically open source with zero licensing fees, supporting software (e.g. databases, operating systems) may require licensing fees.</t>
  </si>
  <si>
    <t>Data and Voice Services</t>
  </si>
  <si>
    <t>Recurring voice and data services fees.</t>
  </si>
  <si>
    <t>Recurrent Training</t>
  </si>
  <si>
    <t>Includes all elements to deliver refresher training and staff turnover training at set intervals. Key activities including trainer time, train-the-trainer sessions, training materials, and any required travel.</t>
  </si>
  <si>
    <t>Helpdesk Support</t>
  </si>
  <si>
    <t>Costs associated with labor for operating the system; includes system administrators, DBAs, business analysts, as well as a support team that provides ongoing end user support.</t>
  </si>
  <si>
    <t>Maintenance</t>
  </si>
  <si>
    <t>Costs associated with maintaining the IT system (e.g. patches, downtime, scheduled + unscheduled). Final SLAs and maintenance contract(s).</t>
  </si>
  <si>
    <t>Testing</t>
  </si>
  <si>
    <t>Covers testing which can be conducted as discrete scheduled activities for the central system environment including load, security, disaster recovery, and redundancy testing. Testing done as a routine step in regular software development and maintenance including unit, integration, QA, UAT, and smoke testing is included in the software development and maintenance sub-categories.</t>
  </si>
  <si>
    <t>Transfer of Ownership</t>
  </si>
  <si>
    <t>Costs associated with transferring ownership from the implementation vendor(s) to the government.</t>
  </si>
  <si>
    <t>Costs associated with managing the project, typically the costs of project manager role.</t>
  </si>
  <si>
    <t>Transportation and Communication</t>
  </si>
  <si>
    <t>Costs associated with ad hoc and routine transportation and communications between core staff for project management and execution.</t>
  </si>
  <si>
    <t>Governance</t>
  </si>
  <si>
    <t>Resource or time costs associated with overall digital health governance in the Ministry, including developing visions, national guidelines, strategic plans, and implementation.</t>
  </si>
  <si>
    <t>Monitoring &amp; Evaluation</t>
  </si>
  <si>
    <t>Costs associated with monitoring and evaluating program efficacy and impact.  Includes creating reporting plan, metrics collection, writing reports, liaising with donors / funders.</t>
  </si>
  <si>
    <t>Procurement</t>
  </si>
  <si>
    <t>Costs associated with contracting, including identifying requirements, creating RFP, evaluating RFP, and contract negotiation with software implementers and hardware vendors.</t>
  </si>
  <si>
    <t>Total</t>
  </si>
  <si>
    <t>Total Cap-ex</t>
  </si>
  <si>
    <t>Total Op-ex</t>
  </si>
  <si>
    <t>Total all</t>
  </si>
  <si>
    <t>Activity</t>
  </si>
  <si>
    <t>Description</t>
  </si>
  <si>
    <t>Cost 5 year</t>
  </si>
  <si>
    <t>Tanzania</t>
  </si>
  <si>
    <t>Ethiopia</t>
  </si>
  <si>
    <t>Mozambique</t>
  </si>
  <si>
    <t>Malawi</t>
  </si>
  <si>
    <t>Zambia</t>
  </si>
  <si>
    <t>Landscaping to assess the current state and enabling regulatory environment. Assess integration, migration, and reporting requirements. Conduct business process analysis, data modeling, site and server assessment. Document landscaping, needs assessment, and requirements specifications</t>
  </si>
  <si>
    <t>% of costs by phase</t>
  </si>
  <si>
    <t>Data entry</t>
  </si>
  <si>
    <t>Check</t>
  </si>
  <si>
    <t>Guidance</t>
  </si>
  <si>
    <t>Greater than 60% of Project Scoping Costs</t>
  </si>
  <si>
    <t>Draft Tool</t>
  </si>
  <si>
    <t>Yes</t>
  </si>
  <si>
    <t>No</t>
  </si>
  <si>
    <t>Combine with above</t>
  </si>
  <si>
    <t>Combine with below</t>
  </si>
  <si>
    <t>Cost</t>
  </si>
  <si>
    <t>N/A</t>
  </si>
  <si>
    <t>Between 5-20% of the Deployment Costs</t>
  </si>
  <si>
    <t>10% or less of Deployment Costs</t>
  </si>
  <si>
    <t>Equipment/infrastructure shared (Yes or No)</t>
  </si>
  <si>
    <t>Budget five year replacement costs for equipment and infrastructure</t>
  </si>
  <si>
    <t>Between 5% and 25% of the Operations Costs</t>
  </si>
  <si>
    <t>Include any testing costs</t>
  </si>
  <si>
    <t>Include any transfer of ownership costs</t>
  </si>
  <si>
    <t>Include any governance costs</t>
  </si>
  <si>
    <t>Include any procurement costs</t>
  </si>
  <si>
    <t>Between 15% and 35% of Operations Costs</t>
  </si>
  <si>
    <t>Valid input</t>
  </si>
  <si>
    <t>Include any transportation costs</t>
  </si>
  <si>
    <t>Less than 20% of the Operations Costs</t>
  </si>
  <si>
    <t>Scenario</t>
  </si>
  <si>
    <t>Equipment and infrastructure costs may be shared across more than one project.  Please enter if these costs should be shared.</t>
  </si>
  <si>
    <t>Between 20% and 40% of Project Scoping Costs</t>
  </si>
  <si>
    <t>Between 2% and 10% of Project Scoping Costs</t>
  </si>
  <si>
    <t>Reference</t>
  </si>
  <si>
    <t>Tool Data</t>
  </si>
  <si>
    <t>1) Enter in costs in USD or in local currency in yellow cells (column N) for a phase.  Please refer to cost guidance in column M.</t>
  </si>
  <si>
    <t>3) Compare your costs to a benchmark for a LMIS global good</t>
  </si>
  <si>
    <t>2) After all costs are entered for a given phase, review column P to see if any costs may be over budgeted or under budgeted</t>
  </si>
  <si>
    <t xml:space="preserve">Between 10% and 20% of  the Total Cost of Ownership (TCO).  </t>
  </si>
  <si>
    <t>Include any software licensing costs</t>
  </si>
  <si>
    <t>Include any data and voice services</t>
  </si>
  <si>
    <t>Between 15% and 30% of the Operations Costs.  Train the trainer models are often lower in costs.</t>
  </si>
  <si>
    <t>Between 5% and 30% of the Operations Costs.  In country help desk support is lower in cost than implementations relient on international partners.</t>
  </si>
  <si>
    <t>Potential CommCare software plans</t>
  </si>
  <si>
    <t>Community</t>
  </si>
  <si>
    <t>Standard</t>
  </si>
  <si>
    <t>PRO</t>
  </si>
  <si>
    <t>Advanced</t>
  </si>
  <si>
    <t>Enterprise</t>
  </si>
  <si>
    <t>TRANSLATED Language</t>
  </si>
  <si>
    <t>Legend for color coding</t>
  </si>
  <si>
    <t>Scale of Operations</t>
  </si>
  <si>
    <t>Operaciones en escala</t>
  </si>
  <si>
    <t>Year 1</t>
  </si>
  <si>
    <t>Year 2</t>
  </si>
  <si>
    <t>Year 3</t>
  </si>
  <si>
    <t>Year 4</t>
  </si>
  <si>
    <t>Year 5</t>
  </si>
  <si>
    <t>Basic INPUTS (Required)</t>
  </si>
  <si>
    <t>Number of FLWs using CommCare</t>
  </si>
  <si>
    <t>Número depromotores de salud utilizando CommCare</t>
  </si>
  <si>
    <t>OUTPUTS</t>
  </si>
  <si>
    <t># People covered per FLW</t>
  </si>
  <si>
    <t>Número de personas atendidas por cada promotor/a de salud</t>
  </si>
  <si>
    <t>Major OUTPUTS</t>
  </si>
  <si>
    <t>Selected CommCare software plan (see https://www.commcarehq.org/pricing/#software)</t>
  </si>
  <si>
    <t>Plan de software seleccionado de CommCare (ver https://www.commcarehq.org/pricing/#software)</t>
  </si>
  <si>
    <t>New staff needed for CommCare</t>
  </si>
  <si>
    <t>Personal adicional necesarias para CommCare</t>
  </si>
  <si>
    <t>Units</t>
  </si>
  <si>
    <t>Per # FLW</t>
  </si>
  <si>
    <t>Note: Pre-populated inputs are estimates, based on Dimagi experience in India in 2012 and should be carefully reviewed to adjust to your situation (see Dimagi Assumption Explanations for more details)</t>
  </si>
  <si>
    <t>Number of new Project Managers per XX FLWs</t>
  </si>
  <si>
    <t>Número de administradores del proyecto por XX promotores de salud</t>
  </si>
  <si>
    <t>Number of new Field Staff per XX FLWs</t>
  </si>
  <si>
    <t>Número de personal de campo por XX promotores de salud</t>
  </si>
  <si>
    <t>(insert other if needed) Number of new [Type] Staff per XX FLWs</t>
  </si>
  <si>
    <t>(insertar otro de ser necesario) Número de personal nuevo [tipo] por XX promotores de salud</t>
  </si>
  <si>
    <t>Yearly Inflation rate</t>
  </si>
  <si>
    <t>DETAILED PROJECTED COSTS</t>
  </si>
  <si>
    <t>COSTOS DETALLADOS PROYECTADOS</t>
  </si>
  <si>
    <t>Unit type</t>
  </si>
  <si>
    <t># of Units</t>
  </si>
  <si>
    <t>Cost / unit (USD)</t>
  </si>
  <si>
    <t>Annual CommCare Training Costs</t>
  </si>
  <si>
    <t>Costo de capacitaciones anuales</t>
  </si>
  <si>
    <t>Attrition rate</t>
  </si>
  <si>
    <t xml:space="preserve">Tasa de deserción   </t>
  </si>
  <si>
    <t>%</t>
  </si>
  <si>
    <t>Per FLW</t>
  </si>
  <si>
    <t>Por Promotor/a de Salud</t>
  </si>
  <si>
    <t>Initial training days</t>
  </si>
  <si>
    <t>Días de capacitación inicial</t>
  </si>
  <si>
    <t>days per year</t>
  </si>
  <si>
    <t>Recurring training days</t>
  </si>
  <si>
    <t>Días de capacitación recurrentes</t>
  </si>
  <si>
    <t>Per Project Manager</t>
  </si>
  <si>
    <t>Por Administrador de Proyecto</t>
  </si>
  <si>
    <t>Per Field Staff</t>
  </si>
  <si>
    <t>Por Personal de Campo</t>
  </si>
  <si>
    <t>Monthly Operating Costs</t>
  </si>
  <si>
    <t>Costos de Operación por Mes</t>
  </si>
  <si>
    <t>Voice and data plan</t>
  </si>
  <si>
    <t>Plan de datos y voz</t>
  </si>
  <si>
    <t>monthly</t>
  </si>
  <si>
    <t>Additional Incentive / Salary / benefits</t>
  </si>
  <si>
    <t>Incentivo/Salario/Beneficios</t>
  </si>
  <si>
    <t>(Insert other)</t>
  </si>
  <si>
    <t>(Insertar otro)</t>
  </si>
  <si>
    <t>Total monthly</t>
  </si>
  <si>
    <t>Per New Project Manager</t>
  </si>
  <si>
    <t>Incentive / Salary / benefits</t>
  </si>
  <si>
    <t>Site visit/Transport costs</t>
  </si>
  <si>
    <t>Visita de campo/Gastos de transporte</t>
  </si>
  <si>
    <t>Per New Field Staff</t>
  </si>
  <si>
    <t>Per new [Insert Type] Staff</t>
  </si>
  <si>
    <t>Por Personal de […]</t>
  </si>
  <si>
    <t>Plan de datos y vozn</t>
  </si>
  <si>
    <t>Additional Office space costs</t>
  </si>
  <si>
    <t>Gastos Adicionales de Oficina</t>
  </si>
  <si>
    <t>Office Internet</t>
  </si>
  <si>
    <t>Internet en la oficina</t>
  </si>
  <si>
    <t>Additional administrative expenses (electricity, water, rent, supplies, building safety, etc..)</t>
  </si>
  <si>
    <t xml:space="preserve">Gastos administrativos adicionales (luz, agua, alquiler, insumos, manten de edificios, seguridad, etc.) </t>
  </si>
  <si>
    <t>New Equipment / Capital Expenses</t>
  </si>
  <si>
    <t xml:space="preserve"> Equipo/gastos de capital</t>
  </si>
  <si>
    <t>Capital Depreciation / Replacement Rate for netbooks/computers/solar equipment</t>
  </si>
  <si>
    <t>Depreciación de capital / tasa de sustitución de netbooks/computadoras/equipo solar</t>
  </si>
  <si>
    <t>Capital Depreciation / Replacement Rate for phones</t>
  </si>
  <si>
    <t>Depreciación de capital / tasa de sustitución de teléfonos</t>
  </si>
  <si>
    <t>Mobile Phones / chargers / SIM card &amp; registration</t>
  </si>
  <si>
    <t>Teléfonos móviles / cargadores / tarjetas SIM &amp; registro</t>
  </si>
  <si>
    <t>Per Worker (FLW, Manager, Staff)</t>
  </si>
  <si>
    <t>Solar equipment for device charging</t>
  </si>
  <si>
    <t>Sistema Solar para cargar aparatos</t>
  </si>
  <si>
    <t>Per Worker</t>
  </si>
  <si>
    <t>Netbook per New Project Manager(PM)</t>
  </si>
  <si>
    <t>Netbook o portátil Por Administrador de Proyecto</t>
  </si>
  <si>
    <t>Per Project Mger</t>
  </si>
  <si>
    <t>Netbook per new Field Staff (FS)</t>
  </si>
  <si>
    <t>Netbook o portátil Por Personal de Campo</t>
  </si>
  <si>
    <t>Rer Field staff</t>
  </si>
  <si>
    <t>Netbook per new [Insert type] Staff</t>
  </si>
  <si>
    <t>Netbook o portátil Por Personal de [Insertar]</t>
  </si>
  <si>
    <t>Per [Insert type] Staff</t>
  </si>
  <si>
    <t>Additional equipment needed for Office</t>
  </si>
  <si>
    <t>Equipo adicional por oficina</t>
  </si>
  <si>
    <t>GPRS Modem</t>
  </si>
  <si>
    <t>Módem GPRS</t>
  </si>
  <si>
    <t>per unit (office)</t>
  </si>
  <si>
    <t>Additional Computer equipment</t>
  </si>
  <si>
    <t>Equipo de computación adicional</t>
  </si>
  <si>
    <t>Estimated number of mobile app users</t>
  </si>
  <si>
    <t>Included number of mobile app users in the software plan</t>
  </si>
  <si>
    <t>CommCare hosting fees per month</t>
  </si>
  <si>
    <t>CommCare hosting plan (Community =$0, Standard = $250, PRO = $500, Advanced=$1,000) - based on an annual billing cycle</t>
  </si>
  <si>
    <t>Plan de hosting de CommCare (Community =$0, Standard = $100, PRO = $500, Advanced=$1,000)</t>
  </si>
  <si>
    <t>Additional $2 fee per users (after included users) - (Note: Different pricing for Enterprise)</t>
  </si>
  <si>
    <t>Tarifa de $1 adicional por usuario (después de los 50 usuarios gratuitos)</t>
  </si>
  <si>
    <t>TOTAL CommCare cost (per month)</t>
  </si>
  <si>
    <t>Costo de CommCare TOTAL (por mes)</t>
  </si>
  <si>
    <r>
      <t xml:space="preserve">Per [Insert Type] Staff </t>
    </r>
    <r>
      <rPr>
        <i/>
        <sz val="10"/>
        <rFont val="Calibri"/>
        <family val="2"/>
      </rPr>
      <t>(if additional category needed)</t>
    </r>
  </si>
  <si>
    <r>
      <t xml:space="preserve">Por Personal de [Insertar] </t>
    </r>
    <r>
      <rPr>
        <i/>
        <sz val="10"/>
        <rFont val="Calibri"/>
        <family val="2"/>
      </rPr>
      <t>(agregar categoría adicional de ser necesario)</t>
    </r>
  </si>
  <si>
    <t>TOTAL COST OF OWNERSHIP (TCO) OF MOBILE APP. PROJECT</t>
  </si>
  <si>
    <t>TOTAL COSTS PER YEAR</t>
  </si>
  <si>
    <t>TOTAL COSTS</t>
  </si>
  <si>
    <t>TOTAL</t>
  </si>
  <si>
    <t>Operating Costs</t>
  </si>
  <si>
    <t>FLW - Data plans and add. salaries</t>
  </si>
  <si>
    <t>Staff &amp; Management - Data plan and salaries</t>
  </si>
  <si>
    <t>Trainings</t>
  </si>
  <si>
    <t>Training - Existing FLWs</t>
  </si>
  <si>
    <t>Training - Existing Project Managers</t>
  </si>
  <si>
    <t>Training - Existing Field Staff</t>
  </si>
  <si>
    <t>Training - Existing [Insert Type] Staff</t>
  </si>
  <si>
    <t>Training - NEW FLWs</t>
  </si>
  <si>
    <t>Training - NEW Project Managers</t>
  </si>
  <si>
    <t>Training - NEW Field Staff</t>
  </si>
  <si>
    <t>Training - NEW [Insert type] Staff</t>
  </si>
  <si>
    <t>Office expenses</t>
  </si>
  <si>
    <t>Dimagi - CommCare hosting fees</t>
  </si>
  <si>
    <t>TOTAL OPEX</t>
  </si>
  <si>
    <t>Capital/Equipment Costs</t>
  </si>
  <si>
    <t>Netbooks for project manager</t>
  </si>
  <si>
    <t>Netbooks for field staff</t>
  </si>
  <si>
    <t>Netbooks for [Insert type] staff</t>
  </si>
  <si>
    <t>Total Capital / Equipment</t>
  </si>
  <si>
    <t>TOTAL PER BENEFICIARY</t>
  </si>
  <si>
    <t>AVERAGE YEARLY COSTS PER FLW</t>
  </si>
  <si>
    <t>Average Yearly Costs for Modelled Org (per FLW)</t>
  </si>
  <si>
    <t xml:space="preserve">ANNUAL AVERAGE </t>
  </si>
  <si>
    <t>AVERAGE PROJECTED COSTS (per FLW)</t>
  </si>
  <si>
    <t>Total Avg. Annual Total Cost of Ownership (per FLW)</t>
  </si>
  <si>
    <t>TOTAL COSTS PER YEAR (with split data plans and salaries)</t>
  </si>
  <si>
    <t>FLW &amp; management - Data plans</t>
  </si>
  <si>
    <t xml:space="preserve">FLW &amp; Management - salaries </t>
  </si>
  <si>
    <t>General</t>
  </si>
  <si>
    <t>Possible edits to make</t>
  </si>
  <si>
    <t>Add user guide to include:</t>
  </si>
  <si>
    <t>Tool overview - describe process, tabs, etc</t>
  </si>
  <si>
    <t>Key considerations</t>
  </si>
  <si>
    <t>Glossary of terms</t>
  </si>
  <si>
    <t>Notes and limitations</t>
  </si>
  <si>
    <t>Contact info</t>
  </si>
  <si>
    <t>Organization of tool/tabs</t>
  </si>
  <si>
    <t xml:space="preserve">Option to direct tool user to input data for digital system that is based on number/ type of end users vs. not scalable by end user vs. combination ? </t>
  </si>
  <si>
    <t>Additional thoughts</t>
  </si>
  <si>
    <t>Data inputs tab (based on type of tool)</t>
  </si>
  <si>
    <t>Plan and budget</t>
  </si>
  <si>
    <t xml:space="preserve">Reference/benchmark </t>
  </si>
  <si>
    <t>Country</t>
  </si>
  <si>
    <t xml:space="preserve">Can we incorporate market maturity as an element? Perhaps as a generic call out box in the Plan and Budget section based on the maturity of the country? </t>
  </si>
  <si>
    <t>Option to use local currency</t>
  </si>
  <si>
    <t>Enter current exchange rate</t>
  </si>
  <si>
    <t>Link to a resource?</t>
  </si>
  <si>
    <t>Need to confirm generalizability of LMIS and CommCare TCOs to other digital health solutions. We have the PATH document on "Cost profile for a typical information system" which is very generic. Data may not be robust enough to provide a TCO tool beyond LMIS.</t>
  </si>
  <si>
    <t>Could use 1) CapEx/OpEx, 2) phases of LMIS TCO (Project scoping/planning development, Deployment, Scaling, Operations), or 3) Other such as PATH toolkit (Pilot, Scale, Sustain which are further segmented by Develop, Deploy, Run)</t>
  </si>
  <si>
    <t>Description and scope of tool - both TCO/budgeting and benchmark tool, what it is and is not</t>
  </si>
  <si>
    <t xml:space="preserve">Overview of TCO components - either CapEx/OpEx or by phase </t>
  </si>
  <si>
    <t>Data sources</t>
  </si>
  <si>
    <t>Disclaimer</t>
  </si>
  <si>
    <t>General - Data inputs</t>
  </si>
  <si>
    <t>LMIS/national implementation - Data inputs</t>
  </si>
  <si>
    <t>USAID/DH&amp;I TCO of GG</t>
  </si>
  <si>
    <t>Cumulative Development Costs</t>
  </si>
  <si>
    <t>Initial Product Development</t>
  </si>
  <si>
    <t>Requirements</t>
  </si>
  <si>
    <t>Design</t>
  </si>
  <si>
    <t>Test</t>
  </si>
  <si>
    <t>Major Releases</t>
  </si>
  <si>
    <t>Development Infrastructure</t>
  </si>
  <si>
    <t>Community Support</t>
  </si>
  <si>
    <t>Overhead</t>
  </si>
  <si>
    <t>Documentation</t>
  </si>
  <si>
    <t>Training/Academies</t>
  </si>
  <si>
    <t>Hardware</t>
  </si>
  <si>
    <t>Software</t>
  </si>
  <si>
    <t>Project Costs</t>
  </si>
  <si>
    <t>Adaptation</t>
  </si>
  <si>
    <t>Software Customization</t>
  </si>
  <si>
    <t>Localization</t>
  </si>
  <si>
    <t>Deployment</t>
  </si>
  <si>
    <t>Software Licensing</t>
  </si>
  <si>
    <t>Integration</t>
  </si>
  <si>
    <t>Training</t>
  </si>
  <si>
    <t>System Modification</t>
  </si>
  <si>
    <t>Operations</t>
  </si>
  <si>
    <t xml:space="preserve">Equipment Replacement </t>
  </si>
  <si>
    <t>Infrastructure Costs</t>
  </si>
  <si>
    <t>Admin/Helpdesk Support</t>
  </si>
  <si>
    <t>VW</t>
  </si>
  <si>
    <t>Dimagi</t>
  </si>
  <si>
    <t>Project Scoping, Planning and Development</t>
  </si>
  <si>
    <t>CapEx</t>
  </si>
  <si>
    <t>Mobile phones</t>
  </si>
  <si>
    <t>Netbooks for staff</t>
  </si>
  <si>
    <t>OpEx</t>
  </si>
  <si>
    <t>Office expenses (Modem, addtl computer equip)</t>
  </si>
  <si>
    <t>Data plans for staff</t>
  </si>
  <si>
    <t>Salaries/benefits for staff</t>
  </si>
  <si>
    <t>Trainings (new and existing staff)</t>
  </si>
  <si>
    <t>Office internet</t>
  </si>
  <si>
    <t>Admin expenses (electricity, water, rent, supplies, building safety, etc..)</t>
  </si>
  <si>
    <t>PATH Toolkit of IS projects</t>
  </si>
  <si>
    <t>Meetings and admin support</t>
  </si>
  <si>
    <t>Management</t>
  </si>
  <si>
    <t xml:space="preserve">Overall project management </t>
  </si>
  <si>
    <t>Research, monitoring and evaluation</t>
  </si>
  <si>
    <t>Software and interfaces</t>
  </si>
  <si>
    <t>Content, standards and localization</t>
  </si>
  <si>
    <t>Client hardware</t>
  </si>
  <si>
    <t>Data and communication services</t>
  </si>
  <si>
    <t>Server management and hosting</t>
  </si>
  <si>
    <t>Administration and call center support</t>
  </si>
  <si>
    <t>Initial Implementation</t>
  </si>
  <si>
    <t>Project Initiation</t>
  </si>
  <si>
    <t>Software and Hardware Procurement</t>
  </si>
  <si>
    <t>Development</t>
  </si>
  <si>
    <t>Software Development/Customization</t>
  </si>
  <si>
    <t>Go-Live/Deployment</t>
  </si>
  <si>
    <t>Staff</t>
  </si>
  <si>
    <t>Business Process Mapping and Re-engineering</t>
  </si>
  <si>
    <t>Hosting Environment Upgrade</t>
  </si>
  <si>
    <t>Facilities (office space, server room, data center, cooling system, etc)</t>
  </si>
  <si>
    <t>Integration with other systems</t>
  </si>
  <si>
    <t>TCO Sample Calculation (from Alice)</t>
  </si>
  <si>
    <t>Requirements Analysis and Specification</t>
  </si>
  <si>
    <t>Procurement Decisions (if RfP is issued)</t>
  </si>
  <si>
    <t>Solution Design</t>
  </si>
  <si>
    <t>Software and Hardware Procurement and Maintenance</t>
  </si>
  <si>
    <t>Solution Delivery</t>
  </si>
  <si>
    <t>Test/Simulation</t>
  </si>
  <si>
    <t xml:space="preserve">Annual Operation Costs </t>
  </si>
  <si>
    <t>Infrastructure and Maintenance</t>
  </si>
  <si>
    <t>Application Management</t>
  </si>
  <si>
    <t>Unplanned Costs</t>
  </si>
  <si>
    <t>Hardware Upgrades</t>
  </si>
  <si>
    <t>Cost of capital</t>
  </si>
  <si>
    <t>If we want to allow calculation of present value over 5 years</t>
  </si>
  <si>
    <t>License Maintenace and Software Support</t>
  </si>
  <si>
    <t>Infrastructure Software Support</t>
  </si>
  <si>
    <t>Hardware Support</t>
  </si>
  <si>
    <t>Application Monitoring and Optimization</t>
  </si>
  <si>
    <t xml:space="preserve">Communications (Connectivity and Network Costs) </t>
  </si>
  <si>
    <t>Internet Connection</t>
  </si>
  <si>
    <t>SMS Gateway Service</t>
  </si>
  <si>
    <t>Data Management</t>
  </si>
  <si>
    <t>Management Reports and Decision Support</t>
  </si>
  <si>
    <t>Salaries of Dedicated IT Staff</t>
  </si>
  <si>
    <t>Salaries of Overhead Staff</t>
  </si>
  <si>
    <t>Ongoing End-user and Staff Training</t>
  </si>
  <si>
    <t>Turnover/Productivity Loss</t>
  </si>
  <si>
    <t>Response to Security/Data Breaches</t>
  </si>
  <si>
    <t>Unsheduled Maintenance and Outage Recovery Efforts</t>
  </si>
  <si>
    <t>Electrical Power and Backup</t>
  </si>
  <si>
    <t>Develop User-oriented Training Material and Documentation</t>
  </si>
  <si>
    <t>End-user Training</t>
  </si>
  <si>
    <t>Refresher End-user Training</t>
  </si>
  <si>
    <t xml:space="preserve">Additional Role-Specific Trainings </t>
  </si>
  <si>
    <t>Performance and Security Testing</t>
  </si>
  <si>
    <t>Quality Assurance/Testing</t>
  </si>
  <si>
    <t>Equipment Set-up</t>
  </si>
  <si>
    <t>Application License Fees</t>
  </si>
  <si>
    <t>Application Configuration and Setup</t>
  </si>
  <si>
    <t>Storage and Hosting Fees</t>
  </si>
  <si>
    <t>Test Environment</t>
  </si>
  <si>
    <t>Project Administration/Staff Salaries</t>
  </si>
  <si>
    <t xml:space="preserve">Will these be a single tab or multiple (depending on the type of tool)? </t>
  </si>
  <si>
    <t xml:space="preserve">Could guide the user by asking 1) who is the primary user of this tool (central MOH or other national ministry level or subnational government vs. facilities/HCWs), 2) is the implementation plan to scale by end user (number of facilities/HCWs). Is there an option that could include both, for example a national implementation such as HMIS/DHIS2 with last mile deployment of mobile DHIS2 Tracker? Or is the Dimagi tool a "double click" on the VW tool which gives an additional level of costing detail for solutions that scale to end users like providers or CHWs? </t>
  </si>
  <si>
    <t>Plan and Budget</t>
  </si>
  <si>
    <t xml:space="preserve">Align TCO components (phases or CapEx vs OpEx or by year?) </t>
  </si>
  <si>
    <t xml:space="preserve">See Cost category comparison tab. Does it make sense to try to align Dimagi to TCO? Or find a middle path? </t>
  </si>
  <si>
    <t>Capital depreciation/replacement rate</t>
  </si>
  <si>
    <t>Currently identified as "Costs associated with managing the project, typically the costs of project manager role." Could also include transporation (which is included as a separate line item in the TCO), communication, and procurement (contracting, equipment purchase) if reported as a direct cost. Often times included in overhead and not in project costs.</t>
  </si>
  <si>
    <t>CommCare/user scaled implementation - Data inputs</t>
  </si>
  <si>
    <t>May need to refine Operations - Project Management category</t>
  </si>
  <si>
    <t>Should this be for both Deployment/Initial purchase as well as Operations/Replacement? 
May want to more details/guidance on what this means - existing computers/mobiles that will be used/shared, existing internet bandwidth/mobile data that will be used/shared, existing servers/storage devices/routers/backup generators.</t>
  </si>
  <si>
    <t>Option to note whether they are all directly incurred by implementation or not?</t>
  </si>
  <si>
    <t>Update scenario - Equipment/Infrastructure sharing (Yes/No option)</t>
  </si>
  <si>
    <t xml:space="preserve">Can users identify whether this phase needs to be costed (or only parts are needed)? For example, do they need to a needs assessement or not? </t>
  </si>
  <si>
    <t>Could be shared for deployment - software development, integration/interoperability, M&amp;E</t>
  </si>
  <si>
    <t xml:space="preserve">Is integration or interoperability with other health systems planned? This would decrease deployment costs if none planned although ultimately would decrease long term operational costs. Large scale integration and upgrading drives cost (from 3% to 16% of TCO per VW). </t>
  </si>
  <si>
    <t xml:space="preserve">Option to determine if M&amp;E support provided by government or implementing partner (lower if government) or shared if provided by government? </t>
  </si>
  <si>
    <t xml:space="preserve">Could be shared for operations
VW TCO also mentions what level of support (1-3) is provided by government or implementing partner or outside vendor (outside vendor and implementing partner drive up costs) could be 8-24% of TCO based on the model 
Also could out this component more based on whether this is onsite or not, what software is utilized, whether qualified/trained staff are available  </t>
  </si>
  <si>
    <t xml:space="preserve">Align to LMIS cost categories? </t>
  </si>
  <si>
    <t>Type of training (eLearning, classroom-based training, train-the-trainer, on-the-job training) for both initial and recurrent/refresher</t>
  </si>
  <si>
    <t>Server hosting choice</t>
  </si>
  <si>
    <t>Hosting in-house server (local or national data center), hosting off site cloud (local cloud), hosting off site cloud (international distributed cloud).
Hard to tell how this varies, TCO says it drives down infrastructure/equipment replacement costs but increases data connectivity (quantity of data and number of users can increase this).</t>
  </si>
  <si>
    <t>Core Software Platform/Implementation (Build, Buy or Outsource)</t>
  </si>
  <si>
    <t xml:space="preserve">Could include dropdown selection for *primary* model: 1) build application for scratch (custom development, including global goods), 2) buy software package (commercial off the shelf), 3) outsource (SaaS). Would need to build out a logic pathway for how this impacts the other data inputs/cost categories and plan and budget outputs, as well as reference benchmark ? 
Do we have information on how much more expensive a GG is vs. proprietary considering all costs? Will impact whether there is annual licensing cost under operations. </t>
  </si>
  <si>
    <t xml:space="preserve">It is set at 20% for model implementation in TCO, we could pre set here and allow user to adjust if it shoudl be higher/lower based on experience (for example, range could be 10-25%)
Perhaps also include an example (a 10% replacement rate means that on average equipment needs to be replaced every 10 years)? </t>
  </si>
  <si>
    <t>Could add number of facilities requiring internet connectivity/data and voice users</t>
  </si>
  <si>
    <t xml:space="preserve">Type of device (basic phone, smartphone, tablet, desktop, laptop) </t>
  </si>
  <si>
    <t>Project management costs directly related to # of staff/FTE (for example in scoping/project planning; number of M&amp;E/governance/project management staff for operations phase)</t>
  </si>
  <si>
    <t>Update scenarios</t>
  </si>
  <si>
    <t>Need for Project scoping, planning, development phase (Yes/No option)</t>
  </si>
  <si>
    <t>Data/Voice sharing (Yes/No option)</t>
  </si>
  <si>
    <t>Labor Sharing (Yes/No or FTE/% based option)</t>
  </si>
  <si>
    <t>Integration/Interoperability (Yes/No option)</t>
  </si>
  <si>
    <t>M&amp;E Support structure/sharing (Yes/No option or other?)</t>
  </si>
  <si>
    <t xml:space="preserve">Helpdesk structure/sharing (Yes/No option and possible additional elements) </t>
  </si>
  <si>
    <t>Training (dropdown option)</t>
  </si>
  <si>
    <t>Scaling human resource categories</t>
  </si>
  <si>
    <t>Training for end users (Scale)</t>
  </si>
  <si>
    <t>Hardware for end users (Scale and type of device)</t>
  </si>
  <si>
    <t>Infrastructure for connectivity/data and voice  (scale)</t>
  </si>
  <si>
    <t>Add scenarios</t>
  </si>
  <si>
    <t>Refine categories</t>
  </si>
  <si>
    <t xml:space="preserve">Questions </t>
  </si>
  <si>
    <t>Should costs be presented as aggregated or disaggregated over five years?</t>
  </si>
  <si>
    <t xml:space="preserve">Proposed approach and assumptions </t>
  </si>
  <si>
    <t>Tool will include 2 separate budgeting frameworks, one for digital solutions that are aimed at large numbers of last-mile users (e.g., community health workers) versus those tailored toward national-level health system management. These 2 frameworks may be combined into one as the tool gets further developed.</t>
  </si>
  <si>
    <t xml:space="preserve">Dimagi tool aimed at last-mile users will be expanded to include a greater range of costs, including project start up costs. </t>
  </si>
  <si>
    <t>Costs will be presented over 5 years.</t>
  </si>
  <si>
    <t>Should these be two separate tools or a single tool that allows a scaling by end user functionality?</t>
  </si>
  <si>
    <t>Total Cost of Ownership (TCO) Summary</t>
  </si>
  <si>
    <t>The TCO data provides a high-level overview of the 5-Year TCO, CapEx, and OpEx for all countries evaluated in the analysis. A per country summary also provides an overview of implementation characteristics for contextual purposes.</t>
  </si>
  <si>
    <t>Model Implementation</t>
  </si>
  <si>
    <t>Comparator Implementations</t>
  </si>
  <si>
    <t>Reference Implementations</t>
  </si>
  <si>
    <t xml:space="preserve">TOTAL 5-YEAR CAPEX </t>
  </si>
  <si>
    <t>NA</t>
  </si>
  <si>
    <t>CAPEX % OF TCO</t>
  </si>
  <si>
    <t>TOTAL OPEX 5-YEAR</t>
  </si>
  <si>
    <t>OPEX % of TCO</t>
  </si>
  <si>
    <t xml:space="preserve">TOTAL TCO 5-YEAR </t>
  </si>
  <si>
    <t>All costs retrospective and in USD</t>
  </si>
  <si>
    <t xml:space="preserve">Tanzania (MM2) is the model implementation based on an OpenLMIS derivative, eLMIS, which manages the essential medicines supply line.  
The DHI was implemented in 2014, capturing data from 6,000 health facilities, approximately 13,000 health workers, and is considered fully deployed. 
The country reached full deployment by year three. 
The implementing partner is a global north vendor with local subsidiary offices solely dedicated to managing the larger Global Health Supply Chain project, including implementing and managing the DHI. 
The MoH is contributing resources to the project and is currently transitioning ownership to the Ministry.
Costs are based on a combination of initial budgets, actual budgets, primary research interviews, and interviewees' documentation. </t>
  </si>
  <si>
    <t xml:space="preserve">Ethiopia (MM3) is a comparator implementation based on a bespoke solution, mBrana, which manages the vaccine supply line. The DHI was implemented in 2014, to 900 users to manage vaccine stock levels nationally, and is considered fully deployed.
The implementing partner is a global north vendor with local subsidiary offices managing multiple DHI in the country. The MoH is NOT contributing resources to the project.
Costs are based on a combination of actual budgets, primary research interviews, and secondary research.
</t>
  </si>
  <si>
    <t xml:space="preserve">Mozambique (MM1) is a comparator implementation based on an OpenLMIS derivative, eLMIS v3.0, which manages the vaccine supply line.  
The DHI was implemented in 2014, capturing data from 1200 health facilities across 11 provinces and 145 districts with approximately 200 users.
The managing and implementing partner is a global north vendor with local subsidiary offices managing several DHIs. The MoH is contributing resources to the project.
Costs are based on a combination of actual budgets, primary research interviews, and interviewees' documentation. </t>
  </si>
  <si>
    <t>Malawi (MM2) is a reference implementation used for supplemental costing data to the TCO analysis. 
The implementation is based on an OpenLMIS derivative, eLMIS v3.0, which manages the essential medicines supply line.  
The DHI was implemented in 2017, with a go-live in 2018, the solution fully deployed to approximately 650 health facilities that same year. 
The managing partner is a global north vendor, subcontracting to a global north technology partner to implement and manage the solution. The managing partner was unable to share costs data with the research team. 
Costs reflect the technical partner’s contributions of human resources and project overhead to implement, support, and maintain the DHI. 
The technology partner does NOT have local subsidiary offices.   
Costs are based on a combination of actual budgets and primary research interviews.</t>
  </si>
  <si>
    <t>Zambia (MM2) is a reference implementation used for supplemental costing data to the TCO analysis. 
The implementation is based on an OpenLMIS derivative, which manages the essential medicines, ARV, HIV testing, and laboratory commodities supply lines.  
The DHI was implemented in 2014; the solution fully deployed to approximately 580 high-volume health facilities during Years 1-5, covering 70-80% of the population. 
The implementing partner is a global north vendor with local subsidiary offices solely dedicated to managing the larger Global Health Supply Chain project, including implementing and managing the DHI. 
The MoH is contributing resources to the project.
No CapEx (Phase I – III) costs are captured. Costs are based on a combination of actual budgets, primary research interviews, and secondary research.</t>
  </si>
  <si>
    <t>CONFIDENTIAL</t>
  </si>
  <si>
    <t>Project Phase</t>
  </si>
  <si>
    <t>Cost Category</t>
  </si>
  <si>
    <t>One Time Costs + Year 1</t>
  </si>
  <si>
    <t xml:space="preserve">Year 5 </t>
  </si>
  <si>
    <t>Total 5 Year TCO</t>
  </si>
  <si>
    <t>Shared Resources</t>
  </si>
  <si>
    <t>Landscaping to assess the current state and enabling regulatory environment). Assess integration, migration, and reporting requirements. Conduct business process analysis, data modeling, site and server assessment. Document landscaping, needs assessment, and requirements specifications</t>
  </si>
  <si>
    <t>Subtotal Project Scoping, Planning, and Development</t>
  </si>
  <si>
    <t>II. Deployment Phase</t>
  </si>
  <si>
    <t>X</t>
  </si>
  <si>
    <t>Subtotal Deployment</t>
  </si>
  <si>
    <t xml:space="preserve">III. Scaling Phase </t>
  </si>
  <si>
    <t>Subtotal Project Scaling Phase</t>
  </si>
  <si>
    <t>Total CapEx</t>
  </si>
  <si>
    <t>Subtotal Annual OpEx</t>
  </si>
  <si>
    <t>% of TCO</t>
  </si>
  <si>
    <t>Total 5 year Cost</t>
  </si>
  <si>
    <t xml:space="preserve">Will want to think through how to generalize this. Could this be generalizable to other types of DH implementations? If a certain phase is already done/covered separately (for example, project scoping), how does that affect the benchmark?
Could also have a note/guidance on ROI or cost/user/beneficiary? </t>
  </si>
  <si>
    <t xml:space="preserve">How can this tool be most useful to end users of the tool (country governments, implementers, etc)?  </t>
  </si>
  <si>
    <t>What is the budget process/approach and how would this tool support that process?</t>
  </si>
  <si>
    <t xml:space="preserve">What decisions that governments/implementers need to make would drive use of this tool? </t>
  </si>
  <si>
    <t>DIIG</t>
  </si>
  <si>
    <t>Development and Setup</t>
  </si>
  <si>
    <t>Scale</t>
  </si>
  <si>
    <t>Sustained Operations</t>
  </si>
  <si>
    <t>Ongoing/All Phases</t>
  </si>
  <si>
    <t>Management and Staffing</t>
  </si>
  <si>
    <t>Application Installation and Configuration</t>
  </si>
  <si>
    <t>Interoperability with Other Systems</t>
  </si>
  <si>
    <t>End-User Testing</t>
  </si>
  <si>
    <t>Data Connectivity and Power</t>
  </si>
  <si>
    <t>Roll-out</t>
  </si>
  <si>
    <t>Data Collection and Use</t>
  </si>
  <si>
    <t>Voice and Data Services</t>
  </si>
  <si>
    <t>Hardware Maintenance</t>
  </si>
  <si>
    <t>Subscriptions</t>
  </si>
  <si>
    <t>Software Maintenance</t>
  </si>
  <si>
    <t>Refresher Trainings</t>
  </si>
  <si>
    <t>M&amp;E and Data Use Activities</t>
  </si>
  <si>
    <t>Sharing Learnings</t>
  </si>
  <si>
    <t>Add suggested source</t>
  </si>
  <si>
    <t xml:space="preserve">For information/reference on data inputs </t>
  </si>
  <si>
    <t>Reference to VW document 
Instead of having dropdown, could have notes next to each with data points (rather than yes/no, for example)</t>
  </si>
  <si>
    <t>Align cost categories</t>
  </si>
  <si>
    <t>What cost categories would resonate most with end users?</t>
  </si>
  <si>
    <t xml:space="preserve">How relevant is guidance/costing breakdown that takes into account cost sharing (for example, by different government departments)? </t>
  </si>
  <si>
    <t>Different benchmarking options</t>
  </si>
  <si>
    <t>Different graph/bar chart showing cost breakdown with different cost structures</t>
  </si>
  <si>
    <t>For example, show one most with a certain type of training protocol vs. one with a different protocol or one with project initiation costs excluded</t>
  </si>
  <si>
    <t xml:space="preserve">The general cost categories will be: Development, Deployment, Operations. These could be changed based on feedback on what resonates most with end users. </t>
  </si>
  <si>
    <t>Can we extrapolate the cost structure and cost breakdown beyond LMIS reference case to other digital health solutions? See graph below.</t>
  </si>
  <si>
    <t>Phase I: Development</t>
  </si>
  <si>
    <t xml:space="preserve">Phase II: Deployment </t>
  </si>
  <si>
    <t xml:space="preserve">Phase III: Operations </t>
  </si>
  <si>
    <t>I. Development Phase</t>
  </si>
  <si>
    <t>Potential up front questions to guide tool logic</t>
  </si>
  <si>
    <t xml:space="preserve">Who is the primary user of this tool? </t>
  </si>
  <si>
    <t xml:space="preserve">What is the primary core software platform model? </t>
  </si>
  <si>
    <t>Options: 1) Custom-Developed Software, 2) Commercial Off-the-Shelf Software, 3) Free Packaged Software, 4) Open Source Software, 5) Software as a Service (SaaS)</t>
  </si>
  <si>
    <t xml:space="preserve">What is the primary server hosting model? </t>
  </si>
  <si>
    <t>Options: 1) Hosting server in-house (local or national data center), 2) Hosting in local cloud, 3) Hosting in international distributed cloud</t>
  </si>
  <si>
    <t>Is the implementation of the solution planned for scaling by end user (number of facilities, healthcare worker or client)?</t>
  </si>
  <si>
    <t>Does the implementation require costing for project initation (scoping and planning for implementation)?</t>
  </si>
  <si>
    <t>Option: Yes/No</t>
  </si>
  <si>
    <t>Options: Yes/No</t>
  </si>
  <si>
    <t>Will any labor costs be shared across other projects?</t>
  </si>
  <si>
    <t>Will any helpdesk/IT support costs be shared across other projects?</t>
  </si>
  <si>
    <t>Will any hardware (computers, mobile devices, etc) costs be shared across other projects?</t>
  </si>
  <si>
    <t>Will any infrastructure (electricity, data center hosting, and connectivity) costs be shared across other projects?</t>
  </si>
  <si>
    <t>Is large scale integration planned with other health information systems?</t>
  </si>
  <si>
    <t>What type of intial training is planned for the digital solution?</t>
  </si>
  <si>
    <t>Options: 1) eLearning, 2) classroom-based training, 3) train-the-trainer, 4) on-the-job training</t>
  </si>
  <si>
    <t>What type of recurrent/refresher training is planned for the digital solution?</t>
  </si>
  <si>
    <t>Optional additional questions to guide tool logic</t>
  </si>
  <si>
    <r>
      <t xml:space="preserve">For digital solutions </t>
    </r>
    <r>
      <rPr>
        <u/>
        <sz val="11"/>
        <color theme="1"/>
        <rFont val="Calibri"/>
        <family val="2"/>
        <scheme val="minor"/>
      </rPr>
      <t>aimed at a large number of last mile users,</t>
    </r>
    <r>
      <rPr>
        <sz val="11"/>
        <color theme="1"/>
        <rFont val="Calibri"/>
        <family val="2"/>
        <scheme val="minor"/>
      </rPr>
      <t xml:space="preserve"> this could include: client applications/client communication systems, community-based information systems, HCW decision support systems, learning and training systems</t>
    </r>
  </si>
  <si>
    <r>
      <t xml:space="preserve">For digital solutions </t>
    </r>
    <r>
      <rPr>
        <u/>
        <sz val="11"/>
        <color theme="1"/>
        <rFont val="Calibri"/>
        <family val="2"/>
        <scheme val="minor"/>
      </rPr>
      <t>tailored toward national-level health system management</t>
    </r>
    <r>
      <rPr>
        <sz val="11"/>
        <color theme="1"/>
        <rFont val="Calibri"/>
        <family val="2"/>
        <scheme val="minor"/>
      </rPr>
      <t>, this could include: civil registration and vital statistics systems, facility management information system, health management information system, immunization registry system, laboratory and diagnostics information system, public health and disease surveillance system</t>
    </r>
  </si>
  <si>
    <t>III. Operational Phase</t>
  </si>
  <si>
    <t xml:space="preserve">Are there specific digital solutions that are of interest? </t>
  </si>
  <si>
    <t xml:space="preserve">Are there specific aspects of digital health implementations that are difficult to budget for? </t>
  </si>
  <si>
    <t>For example: Capital Expenditure (CapEx) vs. Operational Expenditure (OpEx), Recurring vs. Startup/Up-Front/Continuous costs, Development/Deployment/Operations</t>
  </si>
  <si>
    <t xml:space="preserve">Resources to be shared with users </t>
  </si>
  <si>
    <t xml:space="preserve">Understanding the Total Cost of Ownership for Digital Health (Digital Square &amp; Vital Wave) </t>
  </si>
  <si>
    <t xml:space="preserve">Global Goods Guidebook (Digital Square) - for guidance on open source digital public goods </t>
  </si>
  <si>
    <t>Digital Implementation Investigation Guide (WHO)</t>
  </si>
  <si>
    <t xml:space="preserve">How to Calculate Total Lifetime Costs of Enterprise Software Solutions (Digital Principles) </t>
  </si>
  <si>
    <t>What publicly available resources could we share with users to help guide them in costing for each of these categories?</t>
  </si>
  <si>
    <t>Source</t>
  </si>
  <si>
    <t>Implementation</t>
  </si>
  <si>
    <t xml:space="preserve">Development Cost </t>
  </si>
  <si>
    <t>Deployment Cost</t>
  </si>
  <si>
    <t>TCO</t>
  </si>
  <si>
    <t>LMIS</t>
  </si>
  <si>
    <t>Mobile FLW/community-based information tool</t>
  </si>
  <si>
    <t>India</t>
  </si>
  <si>
    <t>Separated by CapEx and OpEx but CapEx costs (tablets/phones, vaccine site expenses) are incurred annually so I added them to OpEx costs. Data appears to be from 2012.</t>
  </si>
  <si>
    <t>Vaccine FLW/community-based information tool</t>
  </si>
  <si>
    <t>Alice</t>
  </si>
  <si>
    <t>Client communication system</t>
  </si>
  <si>
    <t>Based on Saas model and excludes certain up front costs (i.e. project scoping, RFP, etc)</t>
  </si>
  <si>
    <t>USAID/BCG</t>
  </si>
  <si>
    <t>EMR</t>
  </si>
  <si>
    <t>Kenya</t>
  </si>
  <si>
    <t>PATH</t>
  </si>
  <si>
    <t>Typical information system</t>
  </si>
  <si>
    <t>Separated by CapEx and OpEx but CapEx costs (tablets/phones, vaccine site expenses) are incurred annually so I added them to OpEx costs. Costs incurred over 2 years.</t>
  </si>
  <si>
    <t>Unclear where these costs come from. Specific costs hard to determine (data shared as a graph) so cost estimates are ROUGH. Costs were broken up as Develop, Deploy, Run and separated into 3 phases that were 3 years each (Pilot, Scale, Run) so costs run over 9 years.</t>
  </si>
  <si>
    <t>PATH DUP</t>
  </si>
  <si>
    <t>With clinical decision support, longitudinal tracking and record keeping, revenue collection, informal sector insurance management, stock management, reporting on primary healthcare management. Costs incurred over 6 years (3 years to test, 3 years to rollout)</t>
  </si>
  <si>
    <t>Test: Develop requirements for an integrated suite of software tools, review existing electronic tools to produce a "way forward" report, develop/enhance/adapt existing software tools based on identified gaps and requirements.</t>
  </si>
  <si>
    <t>Rollout: provide support and guidance to users on how to use software tools and resulting data, train primary health care workers on how to use software tools and resulting data, sustainability and ownership plan, provide support and guidance to district-level primary-care computerization advisors.</t>
  </si>
  <si>
    <t>Test: Procure hardware, data bundles, and associated maintenance services for primary health facilities and test software solution within primary health care in three districts, including training. 
Also included from rollout phase: Enhance 'how-to-computeriseprimary health care' guidelines, recruit and train national coordinators, facilitate discussions between ministries and private sector about connectivity expansion, recruit and train district-level primary health care computerization advisors, procure and distribute hardware/data bundles/hardware insurance.</t>
  </si>
  <si>
    <t>Investment appears to have very little operational cost since hospitals choose own software and focus of investment is on developing a “how-to-computerise” guide for hospitals, establishing standards/guidelines and an accreditation mechanism for HIS, and training and supporting hospitals with software support. Investment covers 3 years.</t>
  </si>
  <si>
    <t>Support provided from regional hospital computerization advisors to hospitals to select vendors, negotiate software support and maintenance, drive implementation, manage contracts, etc reoccurring over the course of 3 years.</t>
  </si>
  <si>
    <t>Enhance hospital systems standards and guidelines, develop a “how-to-computerise” guide for hospitals, establish and implement an accreditation mechanism to review hospital systems on the market to ensure they meet developed standards and guidelines, facilitate discussions on business models for mobile and electronic payments</t>
  </si>
  <si>
    <t>Trainings (regional hospital computerisation advisors, facility management on hospital computerisation management, and hospital staff on basic computer skills and new software), provide hospitals with hardware/networking/connectivity/infrastructure maintenance contracts (most hospitals didn't have electronic systems in place), support rollout of computerization guide and coordination with partners to establish connectivity and networking expansion</t>
  </si>
  <si>
    <t>Computerize hospital data (EMR, health finance and information system)</t>
  </si>
  <si>
    <t>Integrated software solution for PHCs and CHWs (community bsed information system, clinical decision support, LMIS)</t>
  </si>
  <si>
    <t>Review guidelines/policies/processes and produce harmonzied guideliens for peformance management/supervision, develop requirements for tools, develop tool</t>
  </si>
  <si>
    <t>Configuration of centralized HMIS to incorporate tool data, enhancing existing planning/budgeting tool (PlanRep) to schedule assessments, training national and district personnel in procedure and tools, procuring hardware.</t>
  </si>
  <si>
    <t>Implement systems for client feedback management (client communication systems)</t>
  </si>
  <si>
    <t>Investment appears to have very little operational cost since focus is on development/deployment. Investment covers 2 years.</t>
  </si>
  <si>
    <t>Develop guideline/strategy for feedback collection, develop USSD/SMS feedback tool and liase with mobile-network operators</t>
  </si>
  <si>
    <t>Support and train national feedback processing team, develop/launch campaign for public, socialize feedback system through national launch event and district meetings, develop sustainability/ownership plan</t>
  </si>
  <si>
    <t>Strengthen systems for facility performance management and supervision (facility management information system)</t>
  </si>
  <si>
    <t>Implement at health and social services workers rgistry (HRIS, Identification registries and directories)</t>
  </si>
  <si>
    <t>Provide ongoing review, maintenance, and user support and communications.</t>
  </si>
  <si>
    <t>Investment appears to have no operational cost since focus is on development/deployment. Investment covers 2 years.</t>
  </si>
  <si>
    <t>Investment appears to have no operational cost since focus is on development/deployment. Investment covers 1.5 years.</t>
  </si>
  <si>
    <t>Develop business requirements and governance processes, devleop workforce registry software and set of API/interoperability with other systems</t>
  </si>
  <si>
    <t>Train national and district data users/training facilitators, launch and socialize workforce registry, train software developers with how to link existing systems to registry, develop a sustainability plan</t>
  </si>
  <si>
    <t>Based on global good implementation. Agile development process spreads costs into future, which had a large impact on where and when costs are incurred. Released bare bones EMR in 1st year, then had significant subsequent development through year 5. "System Modifications" cost were incurred annually over the 5 years (and estimated to be 7 times adaptation costs) so these were added to the Operations Cost in this calculation. Originally what was labeled as "Operations Cost" were only 15% of TCO ($230,000) but only included replacement of initial equipment, internet  (site + central), central IT admins, implementing team, helpdesk.</t>
  </si>
  <si>
    <t xml:space="preserve">Tanzania </t>
  </si>
  <si>
    <t>Investment appears to have very little operational cost since focus is on enhancing logistics systems and development/deployment. Investment covers 2 years.</t>
  </si>
  <si>
    <t>Ongoing review, maintenance, and user support</t>
  </si>
  <si>
    <t>Develop eClaims standards</t>
  </si>
  <si>
    <t>Launch and socialize eClaims standards, familiarize software developers of systemswith how to operationalize standards, develop governance structure</t>
  </si>
  <si>
    <t>Investment appears to have no operational cost since focus is on enhancing current system. Investment covers 3 years.</t>
  </si>
  <si>
    <t>Develop HMIS data policy and data transfer guideliens for centralized HMIS, review/update/standardize HMIS indciators and reports, integrate vertical programs into HMIS, and review rules for data quality checks.</t>
  </si>
  <si>
    <t>Further develop/configure HMIS (revising forms, mobile reporting features, developing more dashboards and aanalysis), facilitate data transfer from existing systems to centralized HMIS, train national users/district users/facility staff</t>
  </si>
  <si>
    <t>Develop supply chain system strategy, detailed requirements for further development linking supply chain systems</t>
  </si>
  <si>
    <t>Train district users, enhance features of existing supply chain data systems</t>
  </si>
  <si>
    <t>Institute data use practices and capacity</t>
  </si>
  <si>
    <t>Monitor the compliance  with the updated data use curricula (M&amp;E), conduct an assessment of roll out and uptake of toolkit/assess how data use best practices are included in new policies at national level/assess trends in political leadership for data use, conduct refresher trainings and routine update of health worker training curriculum, dissemination by data use champions (speaking opportunities for champions or potential at community workshops)</t>
  </si>
  <si>
    <t>Asssess job descriptions in roles that should be primary data users/provide recommendations on revisions, enhance existing skill-development tools and resources to include data use practices, review and strengthen data use practices in pre-service and in-service training curricula, socialize data use toolkit/health data governance structure with policymakers/national leaders/facilitators, conduct meetings and other outreach to prospective datause champions, train regional/district leaders/HMIS leads/statisticians on the datause toolkit, identify and contract with training institutions to organise in-service trainings for health workers</t>
  </si>
  <si>
    <t>Investment not focused on implementing a specific digital health tool/system, but rather on capacity building and implementation. Development costs low since no requirement for system development (use data use toolkit as a proxy for software). Scaling and initial implementation is the most signficant piece. Investment covers 4 years.</t>
  </si>
  <si>
    <t>Develop a data use toolkit (withguidelines and change management practices) for all levels of the health system, coordinate leadership of the health data governance structure</t>
  </si>
  <si>
    <t>Investment appears to have very little operational or development cost since focus is on enhancing and scaling existing eIDSR. Investment covers 1.5 years.</t>
  </si>
  <si>
    <t>Review eIDSR performance in ten regions to identify gaps (project scoping)</t>
  </si>
  <si>
    <t>Enhance eIDSR design to address identified gaps, roll out the revised eIDSR in the remaining  15 regions</t>
  </si>
  <si>
    <t xml:space="preserve">Conduct top up/refresher trainings in existing 10 regions with eIDSR. **costs not disaggregated between initial (rollout) and referesher trainings. Assumption of cost breakdown: 1/3 of total cost across all trainings based on per diem costing for trainings with 2 days of training for rollout training and 1 day for refresher training. Costing information split # of trainings equally between rollout and refresher trainings, 100 each for a total of 200 trainings conducted. </t>
  </si>
  <si>
    <t>Enhance systems for management of supply chain data (LMIS)</t>
  </si>
  <si>
    <t>Develop standards for health insurance eClaims (Health finance and insurance information system)</t>
  </si>
  <si>
    <t>Improve HMIS indicators and reporting (HMIS)</t>
  </si>
  <si>
    <t>Enhance and scale notifiable disease surveillance (public health and disease surveillance system)</t>
  </si>
  <si>
    <t>Implement notification systems for birth and  death recording (civil registration and vital statistics)</t>
  </si>
  <si>
    <t>Develop requirements for applications for birth and death notifications (legal birth registration system/village registries/client registry), develop or enhance  apps  for birth and death notification</t>
  </si>
  <si>
    <t xml:space="preserve">Train district facilitators and community leaders on use of applications </t>
  </si>
  <si>
    <t>Investment appears to have no operational cost since focus is on implemeting new notification system. Investment covers 2 years.</t>
  </si>
  <si>
    <t>Enhance government coordination of data systems and use initiatives (Knowledge management system)</t>
  </si>
  <si>
    <t>Investment appears to have no operational cost since focus is on development/deployment. Investment also focused on data systems and use more broadly (with development of a system for data system inventory and digital library). Investment covers 6 months.</t>
  </si>
  <si>
    <t xml:space="preserve">Develop project implementation guidelines for partners working in data systems and use, </t>
  </si>
  <si>
    <t>Improve MOHCDGEC/PORALG website to incorporate a systems inventory, enhance the digital library on the website to ensure policies/legislation/guidelines are accessibl, design and implement mechanisms to keep inventory/library up to date, review the roles of working groups/committees to avoid duplication/ improve coordination.</t>
  </si>
  <si>
    <t>Put in place an enterprise architecture, including governance, guidelines, and standards for interoperability (Data interchange interoperability and accessibility)</t>
  </si>
  <si>
    <t>Facilitate the upgrade of existing systems to make them interoperable</t>
  </si>
  <si>
    <t>Develop a national eHealth architecture framework, establish national interoperability layer/health information mediator services</t>
  </si>
  <si>
    <t>Implement a client registry (Shared Health Record and health information respositories)</t>
  </si>
  <si>
    <t>Developrequirements and business and governance processes for a client registry, develop client registry system</t>
  </si>
  <si>
    <t>Train MOHCDGEC staff, support dedicated data administrationand de-duplication staff for the first year, familiarize software developers with how to connect their systems to the client registry, support the connection of existing systems with the client registry</t>
  </si>
  <si>
    <t>Perform ongoing review/maintenance/user support, develop a plan for sustainability and ownership of the system</t>
  </si>
  <si>
    <t xml:space="preserve">Develop/adopt/harmonise standards and coding systems for referencing supplies/diagnoses/procedures, develop requirements for a terminology registry, develop a terminology registry and API </t>
  </si>
  <si>
    <t>Train users, familiarize software developers with how to use terminology service</t>
  </si>
  <si>
    <t>Implement a terminology service (Clinical terminology and classifications)</t>
  </si>
  <si>
    <t>Develop a governance structure to manage administrative-area data, develop requirements for the administrative-area registry, develop software for an administrative-area registry.</t>
  </si>
  <si>
    <t>Implement an administrative area registry (Identification registriesand directories, Geographic information system)</t>
  </si>
  <si>
    <t>Train users, launch and socialize admin-area registry, familiarize software developers with using the service (including shape files for mapping in their systems)</t>
  </si>
  <si>
    <t>Implement a health data warehouse to house data from all relevant sources (Census, population information &amp; data warehouse)</t>
  </si>
  <si>
    <t>Investment appears to have very little operational cost since focus is on development/deployment. Investment covers 2.5 years.</t>
  </si>
  <si>
    <t>Build on existing requirements (further specifying key users, data needs, identifying data sources), develop or adapt the data warehouse</t>
  </si>
  <si>
    <t>Train users (national, regional and district) of the data warehouse</t>
  </si>
  <si>
    <t>Benchmarking</t>
  </si>
  <si>
    <t>Subtotal</t>
  </si>
  <si>
    <t>Note: The discount rate is used to calculate present value of the implementation over five years. A 3% annual discount rate is consistent with global health evaluations, but another rate can be selected.</t>
  </si>
  <si>
    <t>Scope of Implementation</t>
  </si>
  <si>
    <t>Custom-Developed Software</t>
  </si>
  <si>
    <t>Commercial Off-the-Shelf Software</t>
  </si>
  <si>
    <t>Free Packaged Software</t>
  </si>
  <si>
    <t>Open Source Software</t>
  </si>
  <si>
    <t>Software as a Service (SaaS)</t>
  </si>
  <si>
    <t>OR could simply as whether the digital solution is aimed at large numbers of last-mile users (e.g., community health workers) or tailored toward national-level health system management?</t>
  </si>
  <si>
    <t>Health facilities or health care workers</t>
  </si>
  <si>
    <t>Patients</t>
  </si>
  <si>
    <t>Is the implementation of the solution planned for scaling by end user (number of facilities, healthcare worker or client)? (Enter "Yes" or "No")</t>
  </si>
  <si>
    <t>Please answer the following questions</t>
  </si>
  <si>
    <t>Central national or subnational government</t>
  </si>
  <si>
    <t>Development costs</t>
  </si>
  <si>
    <t xml:space="preserve">Note: Entry should be a number. </t>
  </si>
  <si>
    <t>Deployment costs</t>
  </si>
  <si>
    <t>Note: Includes initial configuration of settings and user accounts and data configuration (migration of data and setup of custom schemes and/or data types).</t>
  </si>
  <si>
    <t>eLearning</t>
  </si>
  <si>
    <t>Classroom-based training</t>
  </si>
  <si>
    <t>On-the-job training</t>
  </si>
  <si>
    <t>Note: Includes centralized capital equipment (e.g., servers, storage devices, developer and program manager laptops, routers, switches), distributed equipment (e.g., desktops, tablets, mobile phones for frontline health workers), security equipment (e.g., secure boxes, locks, other equipment to secure devices), redundancy and disaster recovery (e.g., additional costs or backup equipment).</t>
  </si>
  <si>
    <t>Operations costs</t>
  </si>
  <si>
    <t>Who is the primary user of the digital health implementation solution? (select from dropdown)</t>
  </si>
  <si>
    <t>DRAFT</t>
  </si>
  <si>
    <r>
      <t>Enter the annual discount rate</t>
    </r>
    <r>
      <rPr>
        <i/>
        <sz val="11"/>
        <rFont val="Calibri"/>
        <family val="2"/>
        <scheme val="minor"/>
      </rPr>
      <t xml:space="preserve"> </t>
    </r>
    <r>
      <rPr>
        <sz val="11"/>
        <rFont val="Calibri"/>
        <family val="2"/>
        <scheme val="minor"/>
      </rPr>
      <t>(assumed to be 3%)</t>
    </r>
  </si>
  <si>
    <r>
      <t>Enter capital depreciation/replacement rate for equipment and hardware</t>
    </r>
    <r>
      <rPr>
        <i/>
        <sz val="11"/>
        <rFont val="Calibri"/>
        <family val="2"/>
        <scheme val="minor"/>
      </rPr>
      <t xml:space="preserve"> </t>
    </r>
    <r>
      <rPr>
        <sz val="11"/>
        <rFont val="Calibri"/>
        <family val="2"/>
        <scheme val="minor"/>
      </rPr>
      <t>(assumed to be 20%)</t>
    </r>
  </si>
  <si>
    <t>Note: Includes capital expenditures associated with deploying the solution to a set number of locations. Deployment costs are typically characterized as “startup” costs, although the actual deployment activity may occur over multiple years (typically the length of the implementation contract term) as the system is scaled. Cost categories include one-time costs for equipment (e.g., laptops, phones), infrastructure (e.g., backup generators, hosting, internet connectivity, power), new deployment training, implementation services, further interoperability updates and system integrations, and further software development to address issues and change requests encountered during the deployment time period.</t>
  </si>
  <si>
    <t>Note: Using existing desktop computers available in health facilities or government agencies is feasible and reduces deployment costs.</t>
  </si>
  <si>
    <t>Note: Include electricity, data center hosting, and connectivity (e.g., internet access, SMS costs), generators or solar charges.</t>
  </si>
  <si>
    <t xml:space="preserve">Note: Includes labor for communication and standards compliance between systems and configuration. </t>
  </si>
  <si>
    <t>Note: Labor of software staff for communication and standards compliance between systems and configuration. Integration and interoperability costs may also occur during initial software development or in the operational phase during maintenance and testing. If the software is not capable of communicating with existing software, adaptation is covered under software customization.</t>
  </si>
  <si>
    <t xml:space="preserve">Note: Includes development of a training framework, Standard Operating Procedure (SOP), training curriculum and material, eLearning platform, and a train-the-trainers program, as applicable. </t>
  </si>
  <si>
    <t xml:space="preserve">Needs Assessment and Requirements Specifications </t>
  </si>
  <si>
    <t xml:space="preserve">Note: May include labor, travel, facility rentals, and per diems for trainers and trainees. Typical requirements: 1 facilitator should be present for every 20 participants assumed. Costs should factor in number of training days, number of attendees, and location of training. The type of device utilized for the implementation (mobile, tablet or desktop computer) may impact training costs. Training for mobile device systems may incur lower costs if users are familiar with similar mobile applications for other activities. </t>
  </si>
  <si>
    <t>Note: Includes ongoing costs to replace equipment as it becomes obsolete or non-functional. Can be estimated based on expected useful life.</t>
  </si>
  <si>
    <t>Infrastructure Replacement</t>
  </si>
  <si>
    <t>Note: Includes ongoing costs to replace infrastructure as it becomes obsolete or non-functional (electricity, data center hosting, and connectivity). Can be estimated based on expected useful life.</t>
  </si>
  <si>
    <t xml:space="preserve">Note: Includes recurring software licensing costs. </t>
  </si>
  <si>
    <t>Note: Transfer of ownership costs may not be applicable to all DHIs.</t>
  </si>
  <si>
    <t>Note: Costs usually cover the labor for a project manager role.</t>
  </si>
  <si>
    <t xml:space="preserve">Note: Includes cost associated with ongoing management of the project. </t>
  </si>
  <si>
    <t>Note: Includes ad hoc and routine transportation and communications between core staff for project management and execution.</t>
  </si>
  <si>
    <t xml:space="preserve">Note: Typical requirements: 2  days/month for 1 - 2 FTE. Depends on scale of deployment. </t>
  </si>
  <si>
    <t xml:space="preserve">Monitoring &amp; Evaluation </t>
  </si>
  <si>
    <t xml:space="preserve">Note: Includes monitoring and evaluating program efficacy and impact. </t>
  </si>
  <si>
    <t>Note: Includes contracting, including identifying requirements, creating RFP, evaluating RFP, and contract negotiation with software implementers and hardware vendors.</t>
  </si>
  <si>
    <t xml:space="preserve">Note: Includes cost associated with labor (programmatic, technical, and admistrative), travel for meetings and workshops, and organizational overhead. Exclude any labor costs associated with needs assessment or software development activities.  </t>
  </si>
  <si>
    <t>Market Segment Maturity</t>
  </si>
  <si>
    <t>Afghanistan</t>
  </si>
  <si>
    <t>Albania</t>
  </si>
  <si>
    <t>Algeria</t>
  </si>
  <si>
    <t>American Samoa</t>
  </si>
  <si>
    <t>Angola</t>
  </si>
  <si>
    <t>Antigua and Barbuda</t>
  </si>
  <si>
    <t>Argentina</t>
  </si>
  <si>
    <t>Armenia</t>
  </si>
  <si>
    <t>Aruba</t>
  </si>
  <si>
    <t>Azerbaijan</t>
  </si>
  <si>
    <t>Bahamas, The</t>
  </si>
  <si>
    <t>Belarus</t>
  </si>
  <si>
    <t>Belize</t>
  </si>
  <si>
    <t>Benin</t>
  </si>
  <si>
    <t>Bhutan</t>
  </si>
  <si>
    <t>Bolivia</t>
  </si>
  <si>
    <t>Bosnia and Herzegovina</t>
  </si>
  <si>
    <t>Botswana</t>
  </si>
  <si>
    <t>Brazil</t>
  </si>
  <si>
    <t>British Virgin Islands</t>
  </si>
  <si>
    <t>Bulgaria</t>
  </si>
  <si>
    <t>Burkina Faso</t>
  </si>
  <si>
    <t>Burundi</t>
  </si>
  <si>
    <t>Cabo Verde</t>
  </si>
  <si>
    <t>Cambodia</t>
  </si>
  <si>
    <t>Cameroon</t>
  </si>
  <si>
    <t>Cayman Islands</t>
  </si>
  <si>
    <t>Central African Republic</t>
  </si>
  <si>
    <t>Chad</t>
  </si>
  <si>
    <t>Chile</t>
  </si>
  <si>
    <t>China</t>
  </si>
  <si>
    <t>Colombia</t>
  </si>
  <si>
    <t>Comoros</t>
  </si>
  <si>
    <t>Congo, Dem. Rep.</t>
  </si>
  <si>
    <t>Congo, Rep.</t>
  </si>
  <si>
    <t>Costa Rica</t>
  </si>
  <si>
    <t>Côte d'Ivoire</t>
  </si>
  <si>
    <t>Croatia</t>
  </si>
  <si>
    <t>Cuba</t>
  </si>
  <si>
    <t>Curaçao</t>
  </si>
  <si>
    <t>Djibouti</t>
  </si>
  <si>
    <t>Dominica</t>
  </si>
  <si>
    <t>Dominican Republic</t>
  </si>
  <si>
    <t>Ecuador</t>
  </si>
  <si>
    <t>Egypt, Arab Rep.</t>
  </si>
  <si>
    <t>El Salvador</t>
  </si>
  <si>
    <t>Equatorial Guinea</t>
  </si>
  <si>
    <t>Eritrea</t>
  </si>
  <si>
    <t>Eswatini</t>
  </si>
  <si>
    <t>Fiji</t>
  </si>
  <si>
    <t>Gabon</t>
  </si>
  <si>
    <t>Gambia, The</t>
  </si>
  <si>
    <t>Georgia</t>
  </si>
  <si>
    <t>Ghana</t>
  </si>
  <si>
    <t>Greece</t>
  </si>
  <si>
    <t>Grenada</t>
  </si>
  <si>
    <t>Guatemala</t>
  </si>
  <si>
    <t>Guinea</t>
  </si>
  <si>
    <t>Guinea-Bissau</t>
  </si>
  <si>
    <t>Guyana</t>
  </si>
  <si>
    <t>Haiti</t>
  </si>
  <si>
    <t>Honduras</t>
  </si>
  <si>
    <t>Hungary</t>
  </si>
  <si>
    <t>Indonesia</t>
  </si>
  <si>
    <t>Iran, Islamic Rep.</t>
  </si>
  <si>
    <t>Iraq</t>
  </si>
  <si>
    <t>Italy</t>
  </si>
  <si>
    <t>Jamaica</t>
  </si>
  <si>
    <t>Kazakhstan</t>
  </si>
  <si>
    <t>Kiribati</t>
  </si>
  <si>
    <t>Korea, Dem. People's Rep.</t>
  </si>
  <si>
    <t>Kosovo</t>
  </si>
  <si>
    <t>Kuwait</t>
  </si>
  <si>
    <t>Kyrgyz Republic</t>
  </si>
  <si>
    <t>Lao PDR</t>
  </si>
  <si>
    <t>Lebanon</t>
  </si>
  <si>
    <t>Lesotho</t>
  </si>
  <si>
    <t>Liberia</t>
  </si>
  <si>
    <t>Libya</t>
  </si>
  <si>
    <t>Macedonia, FYR</t>
  </si>
  <si>
    <t>Madagascar</t>
  </si>
  <si>
    <t>Maldives</t>
  </si>
  <si>
    <t>Mali</t>
  </si>
  <si>
    <t>Marshall Islands</t>
  </si>
  <si>
    <t>Mauritania</t>
  </si>
  <si>
    <t>Mauritius</t>
  </si>
  <si>
    <t>Mexico</t>
  </si>
  <si>
    <t>Micronesia, Fed. Sts.</t>
  </si>
  <si>
    <t>Moldova</t>
  </si>
  <si>
    <t>Mongolia</t>
  </si>
  <si>
    <t>Montenegro</t>
  </si>
  <si>
    <t>Morocco</t>
  </si>
  <si>
    <t>Myanmar</t>
  </si>
  <si>
    <t>Namibia</t>
  </si>
  <si>
    <t>Nauru</t>
  </si>
  <si>
    <t>Nepal</t>
  </si>
  <si>
    <t>New Zealand</t>
  </si>
  <si>
    <t>Nicaragua</t>
  </si>
  <si>
    <t>Niger</t>
  </si>
  <si>
    <t>Nigeria</t>
  </si>
  <si>
    <t>Oman</t>
  </si>
  <si>
    <t>Pakistan</t>
  </si>
  <si>
    <t>Panama</t>
  </si>
  <si>
    <t>Papua New Guinea</t>
  </si>
  <si>
    <t>Paraguay</t>
  </si>
  <si>
    <t>Peru</t>
  </si>
  <si>
    <t>Puerto Rico</t>
  </si>
  <si>
    <t>Romania</t>
  </si>
  <si>
    <t>Russian Federation</t>
  </si>
  <si>
    <t>Rwanda</t>
  </si>
  <si>
    <t>Samoa</t>
  </si>
  <si>
    <t>São Tomé and Principe</t>
  </si>
  <si>
    <t>Senegal</t>
  </si>
  <si>
    <t>Serbia</t>
  </si>
  <si>
    <t>Seychelles</t>
  </si>
  <si>
    <t>Sierra Leone</t>
  </si>
  <si>
    <t>Sint Maarten (Dutch part)</t>
  </si>
  <si>
    <t>Slovak Republic</t>
  </si>
  <si>
    <t>Solomon Islands</t>
  </si>
  <si>
    <t>Somalia</t>
  </si>
  <si>
    <t>South Sudan</t>
  </si>
  <si>
    <t>Sri Lanka</t>
  </si>
  <si>
    <t>St. Kitts and Nevis</t>
  </si>
  <si>
    <t>St. Lucia</t>
  </si>
  <si>
    <t>St. Martin (French part)</t>
  </si>
  <si>
    <t>St. Vincent and the Grenadines</t>
  </si>
  <si>
    <t>Sudan</t>
  </si>
  <si>
    <t>Suriname</t>
  </si>
  <si>
    <t>Syrian Arab Republic</t>
  </si>
  <si>
    <t>Tajikistan</t>
  </si>
  <si>
    <t>Timor-Leste</t>
  </si>
  <si>
    <t>Togo</t>
  </si>
  <si>
    <t>Tonga</t>
  </si>
  <si>
    <t>Trinidad and Tobago</t>
  </si>
  <si>
    <t>Tunisia</t>
  </si>
  <si>
    <t>Turkey</t>
  </si>
  <si>
    <t>Turkmenistan</t>
  </si>
  <si>
    <t>Turks and Caicos Islands</t>
  </si>
  <si>
    <t>Tuvalu</t>
  </si>
  <si>
    <t>Uganda</t>
  </si>
  <si>
    <t>Ukraine</t>
  </si>
  <si>
    <t>Uruguay</t>
  </si>
  <si>
    <t>Uzbekistan</t>
  </si>
  <si>
    <t>Vanuatu</t>
  </si>
  <si>
    <t>Venezuela, RB</t>
  </si>
  <si>
    <t>Vietnam</t>
  </si>
  <si>
    <t>Virgin Islands (U.S.)</t>
  </si>
  <si>
    <t>West Bank and Gaza</t>
  </si>
  <si>
    <t>Yemen, Rep.</t>
  </si>
  <si>
    <t>Zimbabwe</t>
  </si>
  <si>
    <t>Note: This tool is only intended to be used in countries with lower digital health market maturity (1 - 3). Only those countries are included in the dropdown option.</t>
  </si>
  <si>
    <t>Enter the name of the country where the implementation is happening (select from dropdown)</t>
  </si>
  <si>
    <t xml:space="preserve">Note: Server costs will depend on the server type. Consider costs for application, service, and database servers. </t>
  </si>
  <si>
    <t>Total cost of servers for deployment</t>
  </si>
  <si>
    <t>Enter cost of a single server</t>
  </si>
  <si>
    <t>Calculated by multiplying server cost by number of servers needed.</t>
  </si>
  <si>
    <t xml:space="preserve">Enter cost of single router </t>
  </si>
  <si>
    <t>Total cost of routers for deployment</t>
  </si>
  <si>
    <t>Enter cost of a single desktop computer</t>
  </si>
  <si>
    <t>Total cost of desktop computers for deployment</t>
  </si>
  <si>
    <t>Calculated by multiplying router cost by number of routers needed.</t>
  </si>
  <si>
    <t>Calculated by multiplying desktop computer cost by number of computers needed.</t>
  </si>
  <si>
    <t>Enter cost of a single tablet or mobile phone</t>
  </si>
  <si>
    <t>Enter the number of desktop computers needed to be purchased across all sites over the 5-year deployment</t>
  </si>
  <si>
    <t>Enter the number of routers needed to be purchased across all sites over the 5-year deployment</t>
  </si>
  <si>
    <t>Enter the number of servers needed to be purchased across all sites over the 5-year deployment</t>
  </si>
  <si>
    <t>Enter the number of tablets or mobile phones needed to be purchased across all sites over the 5-year deployment</t>
  </si>
  <si>
    <t>Total cost of tablets/mobile phones for deployment</t>
  </si>
  <si>
    <t>Calculated by multiplying tablet/mobile phone cost by number of tablets/mobile phones needed.</t>
  </si>
  <si>
    <t>Note: May include modem, laptop computers, storage devices, switches, security equipment, backup equipment for redundancy and disaster recovery.</t>
  </si>
  <si>
    <t>Will the implementation utilize existing Infrastructure or share Infrascture with another project? (Enter 'Yes' or 'No')</t>
  </si>
  <si>
    <t>Enter annual connectivity cost for a single site or user</t>
  </si>
  <si>
    <t>Enter number of sites or users requiring connectivity across all sites over the 5-year deployment</t>
  </si>
  <si>
    <t>Note: Depending on where the system is deployed, may be incurred as a per user cost or per site cost.</t>
  </si>
  <si>
    <t>Calculated by multiplying annual connectivity cost by number of sites/users needing connectivity.</t>
  </si>
  <si>
    <t>Enter workshop costs for project planning and scoping</t>
  </si>
  <si>
    <t>Enter travel cost required for project planning and scoping staff</t>
  </si>
  <si>
    <t xml:space="preserve">Enter annual data/voice cost for a single site or user </t>
  </si>
  <si>
    <t>Enter number of sites or users requiring data/voice across all sites over the 5-year deployment</t>
  </si>
  <si>
    <t xml:space="preserve">Note: Costs incurred for data and voice services or bundles in the initial deployment (not reoccuring data and voice costs, which should be entered under operations costs). Typical requirements: $ per user per month utilizing a tablet or mobile phone. Costs may vary per country but could be as low as $1/month per mobile phone user or $7/month per tablet user. Make sure to enter this as an ANNUAL cost. </t>
  </si>
  <si>
    <t xml:space="preserve">Note: Depending on where the system is deployed, may be incurred as a per user cost or per site cost. These costs may be shared across other programs or departments. </t>
  </si>
  <si>
    <t>Total cost of connectivity for deployment</t>
  </si>
  <si>
    <t>Total cost of data/voice for deployment</t>
  </si>
  <si>
    <t>Enter cost of a single solar charger or generator</t>
  </si>
  <si>
    <t>Enter the number of solar chargers or generators needed to be purchased across all sites over the 5-year deployment</t>
  </si>
  <si>
    <t>Calculated by multiplying solar charger/generator cost by number of solar charger/generator needed.</t>
  </si>
  <si>
    <t>Total cost of labor for implementation services for deployment</t>
  </si>
  <si>
    <t>Enter number of sites or users requiring new deployment training across all sites over the 5-year deployment</t>
  </si>
  <si>
    <t xml:space="preserve">Note: Assumed to be based on the capital depreciation/replacement rate for equipment and hardware identified in the General Information section above. </t>
  </si>
  <si>
    <t xml:space="preserve">Enter annual equipment replacement rate </t>
  </si>
  <si>
    <t xml:space="preserve">Enter annual infrastructure replacement rate </t>
  </si>
  <si>
    <t>Note: Assumed to be based on the capital depreciation/replacement rate for infrastructure and hardware identified in the General Information section above.</t>
  </si>
  <si>
    <t>Total cost of solar chargers/generators for deployment</t>
  </si>
  <si>
    <t xml:space="preserve">Note: May or may not require budgeting as these services exist within the health system environments and may be shared. Typical requirements: $ per user per month utilizing a tablet or mobile phone. Costs may vary per country but could be as low as $1/month per mobile phone user or $7/month per tablet user. Make sure to enter this as an ANNUAL cost. </t>
  </si>
  <si>
    <t>Calculated by multiplying data/voice cost by number of sites/users needing data/voice.</t>
  </si>
  <si>
    <t>Enter costs of a recurrent training across all sites/users per year</t>
  </si>
  <si>
    <t>Enter annual transfer of ownership cost, if applicable</t>
  </si>
  <si>
    <t>Total cost of new deployment training required over the 5-year deployment</t>
  </si>
  <si>
    <t>Note: Typical requirements: 2 -3 workshops over 1 -3 days per workshop with 20 - 40 participants to gather feedback/input and then finalize and build consensus.
Be sure to calculate the following based on number of workshops and number of days per workshop: 
- Per diem per participant
- Cost of facilitators (typically 1 facilitator per 20 participants)
- Accommodation per participant traveling to workshop
- Travel costs per participant traveling to workshop
-  Meals per day
- Venue per day</t>
  </si>
  <si>
    <t>Note: A 20% replacement is consistent with other digital health implementations but should be adjusted based on experience (appropriate range is generally 10-25%). A 20% replacement rate means that on average equipment needs to be replaced every 5 years but replacement costs are assumed to be incurred every year to replace damaged or broken equipment</t>
  </si>
  <si>
    <t xml:space="preserve">Note: Typical requirements: 1 -2 FTE to conduct project scoping for &lt; 1 year with monthly travel for 4 -5 days to sub-national implementation sites. Be sure to calculate the following based on number of workshops and number of days per workshop: 
- Per diem
- Transportation costs </t>
  </si>
  <si>
    <t>Will the implementation utilize existing equipment or share equipment with another project? (Enter 'Yes' or 'No')</t>
  </si>
  <si>
    <t>Note: If a government allocates equipment costs in annual health system budgets or if implementations utilize existing equipment, equipment costs may be omitted from deployment budgets. Equipment costs may also be shared across more project.</t>
  </si>
  <si>
    <t>Note: Using existing tablets/mobile phones already used by healthcare workers is feasible and reduces deployment costs.</t>
  </si>
  <si>
    <t xml:space="preserve">Note: If a government allocates infrastructure costs in annual health system budgets or if implementations utilize existing infrastructure, infrastructure costs may be omitted from deployment budgets. Infrastructure costs may be shared across more project. </t>
  </si>
  <si>
    <r>
      <t xml:space="preserve">Enter </t>
    </r>
    <r>
      <rPr>
        <b/>
        <sz val="11"/>
        <rFont val="Calibri"/>
        <family val="2"/>
        <scheme val="minor"/>
      </rPr>
      <t xml:space="preserve">other </t>
    </r>
    <r>
      <rPr>
        <sz val="11"/>
        <rFont val="Calibri"/>
        <family val="2"/>
        <scheme val="minor"/>
      </rPr>
      <t>needs assessment and requirement specifications (Enter '0' if not applicable)</t>
    </r>
  </si>
  <si>
    <r>
      <t>Enter total cost of</t>
    </r>
    <r>
      <rPr>
        <b/>
        <sz val="11"/>
        <rFont val="Calibri"/>
        <family val="2"/>
        <scheme val="minor"/>
      </rPr>
      <t xml:space="preserve"> other </t>
    </r>
    <r>
      <rPr>
        <sz val="11"/>
        <rFont val="Calibri"/>
        <family val="2"/>
        <scheme val="minor"/>
      </rPr>
      <t>equipment costs required over the 5-year deployment (Enter '0' if not applicable)</t>
    </r>
  </si>
  <si>
    <t>Note: May include electricity, data center hosting infrastructure needs, etc.</t>
  </si>
  <si>
    <r>
      <t xml:space="preserve">Enter total cost of </t>
    </r>
    <r>
      <rPr>
        <b/>
        <sz val="11"/>
        <rFont val="Calibri"/>
        <family val="2"/>
        <scheme val="minor"/>
      </rPr>
      <t xml:space="preserve">other infrastructure </t>
    </r>
    <r>
      <rPr>
        <sz val="11"/>
        <rFont val="Calibri"/>
        <family val="2"/>
        <scheme val="minor"/>
      </rPr>
      <t>costs required over the 5-year deployment (Enter '0' if not applicable)</t>
    </r>
  </si>
  <si>
    <r>
      <t xml:space="preserve">Enter total cost of </t>
    </r>
    <r>
      <rPr>
        <b/>
        <sz val="11"/>
        <rFont val="Calibri"/>
        <family val="2"/>
        <scheme val="minor"/>
      </rPr>
      <t xml:space="preserve">other </t>
    </r>
    <r>
      <rPr>
        <sz val="11"/>
        <rFont val="Calibri"/>
        <family val="2"/>
        <scheme val="minor"/>
      </rPr>
      <t>implementation service costs required over the 5-year deployment (Enter '0' if not applicable)</t>
    </r>
  </si>
  <si>
    <t>Note: Labor of software staff for configuration of settings/user acconts, migration of data, and setup for custom schemes/data types. Some deployments may not require implementation services in case no costs should be entered.</t>
  </si>
  <si>
    <t>Calculated by multiplying labor cost by level of effort needed.</t>
  </si>
  <si>
    <t>Note: Labor of software staff for major modifications, scope expansion, ongoing product expansion (adding features to support new functionality), and report generation.</t>
  </si>
  <si>
    <t>Enter the type of new deployment training being used (select from dropdown)</t>
  </si>
  <si>
    <t>Note: Costs are driven largely by the delivery approach (e.g., eLearning, classroom-based training, train-the-trainer, on-the-job training). For example, on-the-job training costs much less than classroom-based training.</t>
  </si>
  <si>
    <t>Note: Includes costs associated with ongoing operation of a DHI. Typically includes annual costs for hardware replacement, data and voice services, licenses and subscriptions, recurrent or refresher training, helpdesk support, maintenance and testing, project management, governance, monitoring and evaluation, and procurement services.</t>
  </si>
  <si>
    <t>Calculated by multiplying infrastructure replacement rate by total costs identified in the Deployment Infrastructure costs stated above across 4 years after initial deployment.</t>
  </si>
  <si>
    <t>Calculated by multiplying  infrastructure replacement rate by total costs identified in the Deployment Infrastructure costs stated above across 4 years after initial deployment.</t>
  </si>
  <si>
    <t>Calculated by multiplying equipment replacement rate by total costs identified in the Deployment Equipment costs stated above across 4 years after initial deployment.</t>
  </si>
  <si>
    <t>Note: If the system is a global good, costs are typically open source with zero licensing fees. Supporting software (e.g. databases, operating systems) may require licensing fees.</t>
  </si>
  <si>
    <t>Note: Includes recurring data and voice service fees or bundles.</t>
  </si>
  <si>
    <t>Note: Includes all elements to deliver refresher training and staff turnover training at set intervals. Key activities including trainer time, training materials, and any required travel.</t>
  </si>
  <si>
    <t>Enter the type of recurrent training being used (select from dropdown)</t>
  </si>
  <si>
    <t>Note: May be the same or different appraoch as the new deployment training. Costs are driven largely by the delivery approach (e.g., eLearning, classroom-based training, train-the-trainer, on-the-job training). For example, on-the-job training costs much less than classroom-based training.</t>
  </si>
  <si>
    <t>Note: Includes labor for operating the system such as system administrators, database administrators, business analysts, as well as a support team that provides ongoing end user support.</t>
  </si>
  <si>
    <t xml:space="preserve">Note: Includes maintaining the system (e.g. patches, downtime, scheduled or unscheduled), final SLAs, and maintenance contracts. </t>
  </si>
  <si>
    <t>Note: Includes testing which can be conducted as discrete scheduled activities for the central system environment including load, security, disaster recovery, and redundancy testing.</t>
  </si>
  <si>
    <t>Enter annual software licensing and subscriptions cost (Enter '0' if not applicable)</t>
  </si>
  <si>
    <t>Enter annual transportation and communication cost (Enter '0' if not applicable)</t>
  </si>
  <si>
    <t>Note: Includes resource or time associated with overall digital health governance in governement ministry, including developing visions, national guidelines, strategic plans, and implementation.</t>
  </si>
  <si>
    <t>Note: May include labor costs for establishing documents/plans and workshops to align and coordinate governance.</t>
  </si>
  <si>
    <t>Note: May include labor costs for creating reporting plans, metrics collection, writing reports, liaising with donors / funders. Monitoring &amp; evaluation activities may be integrated into the responsibilities of project management staff and represented in the project management cost category, in which case costs should not be entered here.</t>
  </si>
  <si>
    <t>Note: Typically covers the labor for procurement activities.</t>
  </si>
  <si>
    <t>Rwanda/Tanzania</t>
  </si>
  <si>
    <t>Development Cost</t>
  </si>
  <si>
    <t>Operations Cost</t>
  </si>
  <si>
    <t>LMIC (general)</t>
  </si>
  <si>
    <t xml:space="preserve">Operations </t>
  </si>
  <si>
    <t>Variance by % of TCO</t>
  </si>
  <si>
    <t>Note: Costs primarily driven by labor for system administrators, database analysts, and business analysts. Costs are higher where a solution is not fit-for-purpose in low-resource contexts and where major software releases and requirements to upgrade to new versions of the technology are necessary. For example, commercial-off-the-shelf solutions and software-as-a-service may include support services, reducing the ongoing cost of maintenance.</t>
  </si>
  <si>
    <t>Note: Costs primary driven by labor for system administrators, database analysts, and business analysts. Costs depend on type of software implemented. For example, commercial-off-the-shelf solutions and software-as-a-service may include support services, reducing the ongoing cost of testing.</t>
  </si>
  <si>
    <t>Total cost of integration and interoperability for deployment</t>
  </si>
  <si>
    <t>Note: Costs primary driven by labor for developers, project administrators, and users. Costs depend on type of software implemented. For example, commercial-off-the-shelf solutions and software-as-a-service may include support services, reducing the ongoing cost of testing.</t>
  </si>
  <si>
    <t>Note: May include cost of conducting a user acceptance testing workshop or on-site user testing. For example labor, travel, facility rentals, and per diems for facilitators and users. Typical requirements: 1 facilitator should be present for every 20 participants assumed. Costs should factor in number of days, number of attendees, and location of testing.</t>
  </si>
  <si>
    <t>Note: Includes development labor associated with major modifications and customizations, scope and ongoing product expansion (adding features to support new functionality), report generation.</t>
  </si>
  <si>
    <t>Note: Includes testing the implementation for functionality and stability to prepare for scale. May include end-user experience tests, end-user acceptance test, functionality tests in real-life settings, and load (or stress/volume) tests. Testing can identify and address issues early in software delivery which significantly decreases the costs of fixing issues later in implementation.</t>
  </si>
  <si>
    <t xml:space="preserve">Note: Costs incurred for reoccurring helpdesk support depend on 1) who is providing support (government staff, implementing partners, or third party vendors), 2) what level of support is provided (level one – basic troubleshooting, level two – complex troubleshooting,  level three – last line of support for bugs and other issues), 3) number of end-users and computer literacy of end-users, 4) whether shared helpdesk across multiple DHIs is available, and 5) type of support model (for example, a lower cost model could include WhatsApp for end-users to report issues versus a formal helpdesk staffed during regular business hours, with a toll-free number outside of business hours). </t>
  </si>
  <si>
    <t xml:space="preserve">Note: Includes labor required to develop, adapt, customize, and localize the software for country-level project needs and functionality.These labor costs will vary significantly depending on whether the software is a full custom configuration or customization/adaptation of a digital public good. </t>
  </si>
  <si>
    <t>Note: Includes transferring ownership from the implementation vendor(s) to the government. May include costs associated with transfer of data hosting.</t>
  </si>
  <si>
    <t>Hosting in-house on premise</t>
  </si>
  <si>
    <t>Hosting through a third-party cloud service (local or international)</t>
  </si>
  <si>
    <t>Hosting list</t>
  </si>
  <si>
    <t>Hosting selected</t>
  </si>
  <si>
    <t>Hosting offsite at data center</t>
  </si>
  <si>
    <t>Digital Square Digital Health Market Maturity</t>
  </si>
  <si>
    <t>OANDA.com</t>
  </si>
  <si>
    <t>Haacker, Hallett, and Atun (2020)</t>
  </si>
  <si>
    <t>VW Total Cost of Ownership for Digital Health Reference Document</t>
  </si>
  <si>
    <t>Suggested source(s)</t>
  </si>
  <si>
    <t>DUP Tanzania Digital Health Investment Roadmap</t>
  </si>
  <si>
    <t>WHO Digital Implementation Investment Guide</t>
  </si>
  <si>
    <t>Dimagi's CommCare Total Cost of Ownership Model</t>
  </si>
  <si>
    <t>ADB Digital Health Impact Framework User Manual</t>
  </si>
  <si>
    <t xml:space="preserve">Description of costs </t>
  </si>
  <si>
    <t xml:space="preserve">Costs associated labor and resources for conducting gap analyses, assessing integration needs, requirements development, site and server assessment, and documentation. </t>
  </si>
  <si>
    <t>Costs associated with capital infrastructure including electricity, data center hosting infrastructure, connectivity, generators, and solar charges.</t>
  </si>
  <si>
    <t xml:space="preserve">Costs associated with conducting end-user experience testing, end-user acceptance testing, functionality testing in real-life settings, and load testing. </t>
  </si>
  <si>
    <t>Costs associated with developing  a training framework, curriculum and material, and program, as well as deploying the initial training to sites and users.</t>
  </si>
  <si>
    <t>Costs associated with annual hardware and equipment replacement or repair.</t>
  </si>
  <si>
    <t xml:space="preserve">Costs associated with replacing or updating obsolete/non-functional infrastructure including electricity, data centers, and connectivity. </t>
  </si>
  <si>
    <t>Costs associated with delivering refresher training and staff turnover training.</t>
  </si>
  <si>
    <t xml:space="preserve">Costs of labor for operating the system and providing ongoing end user support. </t>
  </si>
  <si>
    <t xml:space="preserve">Costs of labor required to develop, adapt, customize, and localize the software for project needs and functionality. </t>
  </si>
  <si>
    <t>Costs of labor for maintaining the system, service-level agreements, and maintenance contracts.</t>
  </si>
  <si>
    <t xml:space="preserve">Costs of labor for testing including load, security, disaster recovery, and redundancy testing. </t>
  </si>
  <si>
    <t xml:space="preserve">Costs of labor for initial configuration of settings, user accounts, and data. </t>
  </si>
  <si>
    <t>Costs of labor for communication and standards compliance between systems and configuration.</t>
  </si>
  <si>
    <t xml:space="preserve">Costs of labor for major modifications and customizations, scope and ongoing product expansion, and report generation. </t>
  </si>
  <si>
    <t xml:space="preserve">Costs associated with transferring ownership from implementation vendor(s) to the government  such as transfer of data hosting. </t>
  </si>
  <si>
    <t>Costs of labor for ongoing project management of the implementation.</t>
  </si>
  <si>
    <t>Costs associated with ad hoc and routine transportation and communication between core staff for project management and execution.</t>
  </si>
  <si>
    <t xml:space="preserve">Costs associated with labor and resources required for monitoring and evaluating program efficiency and impact including reporting plans, metric collection, and report writing. </t>
  </si>
  <si>
    <t xml:space="preserve">Costs associated with contracting including identifying requirements, creating and evaluating RFPs, and contract negotiation with implementers and vendors. </t>
  </si>
  <si>
    <t>Stakeholder 2</t>
  </si>
  <si>
    <t>Stakeholder 3</t>
  </si>
  <si>
    <t>Stakeholder 4</t>
  </si>
  <si>
    <r>
      <rPr>
        <b/>
        <sz val="11"/>
        <rFont val="Calibri"/>
        <family val="2"/>
        <scheme val="minor"/>
      </rPr>
      <t xml:space="preserve">Instructions: </t>
    </r>
    <r>
      <rPr>
        <sz val="11"/>
        <rFont val="Calibri"/>
        <family val="2"/>
        <scheme val="minor"/>
      </rPr>
      <t xml:space="preserve">Enter data in the yellow boxes below. Please select your response from the dropdown menu when instructed to "select from dropdown". All yellow boxes should be filled out except when specified otherwise. Suggested inputs are provided when possible; however, these inputs are only intended as broad guidance and should not replace user-specific inputs.  </t>
    </r>
  </si>
  <si>
    <t>User input</t>
  </si>
  <si>
    <t>Suggested input</t>
  </si>
  <si>
    <t xml:space="preserve">Notes and guidance </t>
  </si>
  <si>
    <t>If you wish to calculate the costs in local currency, enter the current exchange rate of local currency to 1 USD (Enter '1.00' if USD is the preferred currency)</t>
  </si>
  <si>
    <t>currency</t>
  </si>
  <si>
    <t>Afghani</t>
  </si>
  <si>
    <t>Lek</t>
  </si>
  <si>
    <t>Belize Dollar</t>
  </si>
  <si>
    <t>Boliviano</t>
  </si>
  <si>
    <t>Convertible Mark</t>
  </si>
  <si>
    <t>Pula</t>
  </si>
  <si>
    <t>Riel</t>
  </si>
  <si>
    <t>Cayman Islands Dollar</t>
  </si>
  <si>
    <t>Yuan Renminbi</t>
  </si>
  <si>
    <t>Fiji Dollar</t>
  </si>
  <si>
    <t>Guyana Dollar</t>
  </si>
  <si>
    <t>Cedi</t>
  </si>
  <si>
    <t>Quetzal</t>
  </si>
  <si>
    <t>Lempira</t>
  </si>
  <si>
    <t>Forint</t>
  </si>
  <si>
    <t>Rupiah</t>
  </si>
  <si>
    <t>Tenge</t>
  </si>
  <si>
    <t>Kip</t>
  </si>
  <si>
    <t>Denar</t>
  </si>
  <si>
    <t>Mauritius Rupee</t>
  </si>
  <si>
    <t>Metical</t>
  </si>
  <si>
    <t>New Zealand Dollar</t>
  </si>
  <si>
    <t>Pakistan Rupee</t>
  </si>
  <si>
    <t>Naira</t>
  </si>
  <si>
    <t>Guarani</t>
  </si>
  <si>
    <t>Sol</t>
  </si>
  <si>
    <t>Seychelles Rupee</t>
  </si>
  <si>
    <t>Sri Lanka Rupee</t>
  </si>
  <si>
    <t>Solomon Islands Dollar</t>
  </si>
  <si>
    <t xml:space="preserve">Suriname Dollar </t>
  </si>
  <si>
    <t>Trinidad and Tobago Dollar</t>
  </si>
  <si>
    <t>Hryvnia</t>
  </si>
  <si>
    <t>Dong</t>
  </si>
  <si>
    <t xml:space="preserve">Zimbabwe Dollar </t>
  </si>
  <si>
    <t>Kyrgystan Som</t>
  </si>
  <si>
    <t>US Dollar</t>
  </si>
  <si>
    <t>Kwanza</t>
  </si>
  <si>
    <t>East Caribbean Dollar</t>
  </si>
  <si>
    <t>Algerian Dollar</t>
  </si>
  <si>
    <t>Argentine Peso</t>
  </si>
  <si>
    <t xml:space="preserve">Armeniam Dram </t>
  </si>
  <si>
    <t>Aruban Florin</t>
  </si>
  <si>
    <t>Azerbaijanian Manat</t>
  </si>
  <si>
    <t>Bahamian Dollar</t>
  </si>
  <si>
    <t>Belarusian Ruble</t>
  </si>
  <si>
    <t>CFA Franc</t>
  </si>
  <si>
    <t>Ngultrum</t>
  </si>
  <si>
    <t>Brazilian Real</t>
  </si>
  <si>
    <t>Bulgarian Lev</t>
  </si>
  <si>
    <t>Burundi Franc</t>
  </si>
  <si>
    <t>Cabo Verde Escudo</t>
  </si>
  <si>
    <t>Chilean Peso</t>
  </si>
  <si>
    <t>Colombian Peso</t>
  </si>
  <si>
    <t>Comoro Franc</t>
  </si>
  <si>
    <t>Congolese Franc</t>
  </si>
  <si>
    <t>Costa Rican Colon</t>
  </si>
  <si>
    <t>Croatian Kuna</t>
  </si>
  <si>
    <t>Cuban Peso</t>
  </si>
  <si>
    <t>Netherlands Antillian Guilder</t>
  </si>
  <si>
    <t>Djibouti Franc</t>
  </si>
  <si>
    <t>Dominican Peso</t>
  </si>
  <si>
    <t>Egyptian Pound</t>
  </si>
  <si>
    <t>Nakfa</t>
  </si>
  <si>
    <t>Lilangeni</t>
  </si>
  <si>
    <t>Ethiopian Birr</t>
  </si>
  <si>
    <t>Dalasi</t>
  </si>
  <si>
    <t>Lari</t>
  </si>
  <si>
    <t>Euro</t>
  </si>
  <si>
    <t>Guinea Franc</t>
  </si>
  <si>
    <t>Gourde</t>
  </si>
  <si>
    <t>Indian Rupee</t>
  </si>
  <si>
    <t>Iranian Rial</t>
  </si>
  <si>
    <t>Iraqi Dinar</t>
  </si>
  <si>
    <t>Jamaican Dollar</t>
  </si>
  <si>
    <t>Kenyan Shilling</t>
  </si>
  <si>
    <t>Australian Dollar</t>
  </si>
  <si>
    <t>North Korean Won</t>
  </si>
  <si>
    <t>Kuwaiti Dollar</t>
  </si>
  <si>
    <t>Lebanese Pound</t>
  </si>
  <si>
    <t>Loti</t>
  </si>
  <si>
    <t>Liberian Dollar</t>
  </si>
  <si>
    <t>Libyan Dinar</t>
  </si>
  <si>
    <t>Malagasy Ariary</t>
  </si>
  <si>
    <t>Malawi Kwacha</t>
  </si>
  <si>
    <t>Rufiyaa</t>
  </si>
  <si>
    <t>Ouguiya</t>
  </si>
  <si>
    <t>Mexican Peso</t>
  </si>
  <si>
    <t>Moldovan Leu</t>
  </si>
  <si>
    <t>Tugrik</t>
  </si>
  <si>
    <t>Moroccan Dirham</t>
  </si>
  <si>
    <t>Kyat</t>
  </si>
  <si>
    <t>Namibian Dollar</t>
  </si>
  <si>
    <t>Nepalese Rupee</t>
  </si>
  <si>
    <t>Cordoba Oro</t>
  </si>
  <si>
    <t>Rial Omani</t>
  </si>
  <si>
    <t>Balboa</t>
  </si>
  <si>
    <t>Kina</t>
  </si>
  <si>
    <t xml:space="preserve">Romanian Leu </t>
  </si>
  <si>
    <t xml:space="preserve">Russian Ruble </t>
  </si>
  <si>
    <t>Rwanda Franc</t>
  </si>
  <si>
    <t>Tala</t>
  </si>
  <si>
    <t>Dobra</t>
  </si>
  <si>
    <t xml:space="preserve">Serbian Dinar </t>
  </si>
  <si>
    <t>Leone</t>
  </si>
  <si>
    <t>Somali Shilling</t>
  </si>
  <si>
    <t>South Sudanese Pound</t>
  </si>
  <si>
    <t>Sudanese Pound</t>
  </si>
  <si>
    <t>Syrian Pound</t>
  </si>
  <si>
    <t>Somoni</t>
  </si>
  <si>
    <t>Tanzanian Shilling</t>
  </si>
  <si>
    <t>Pa'anga</t>
  </si>
  <si>
    <t>Tunisian Dinar</t>
  </si>
  <si>
    <t>Turkish Lira</t>
  </si>
  <si>
    <t>Turkmenistan New Manat</t>
  </si>
  <si>
    <t>Uganda Shilling</t>
  </si>
  <si>
    <t>Peso Uruguayo</t>
  </si>
  <si>
    <t>Uzbekistan Sum</t>
  </si>
  <si>
    <t>Vatu</t>
  </si>
  <si>
    <t>Bolivar</t>
  </si>
  <si>
    <t>Yemeni Rial</t>
  </si>
  <si>
    <t>Zambian Kwacha</t>
  </si>
  <si>
    <t>Israeli shekel</t>
  </si>
  <si>
    <r>
      <t xml:space="preserve">Enter </t>
    </r>
    <r>
      <rPr>
        <b/>
        <sz val="11"/>
        <rFont val="Calibri"/>
        <family val="2"/>
        <scheme val="minor"/>
      </rPr>
      <t>other</t>
    </r>
    <r>
      <rPr>
        <sz val="11"/>
        <rFont val="Calibri"/>
        <family val="2"/>
        <scheme val="minor"/>
      </rPr>
      <t xml:space="preserve"> project planning and scoping costs (Enter '0' if not applicable)</t>
    </r>
  </si>
  <si>
    <t>Enter number of sites or users requiring recurrent training per year</t>
  </si>
  <si>
    <r>
      <t>Enter total cost of</t>
    </r>
    <r>
      <rPr>
        <b/>
        <sz val="11"/>
        <rFont val="Calibri"/>
        <family val="2"/>
        <scheme val="minor"/>
      </rPr>
      <t xml:space="preserve"> other </t>
    </r>
    <r>
      <rPr>
        <sz val="11"/>
        <rFont val="Calibri"/>
        <family val="2"/>
        <scheme val="minor"/>
      </rPr>
      <t>annual helpdesk support costs (Enter '0' if not applicable)</t>
    </r>
  </si>
  <si>
    <t>Note: Includes ongoing costs to replace equipment as it becomes obsolete or non-functional. Can be estimated based on expected useful life. Assumed to be based on the capital depreciation/replacement rate for infrastructure and hardware identified in the General Information section above</t>
  </si>
  <si>
    <t>Enter annual equipment replacement rate for helpdesk support staff</t>
  </si>
  <si>
    <t xml:space="preserve">Note: Includes centralized capital equipment (e.g., servers, storage devices, developer and program manager laptops, routers, switches), distributed equipment (e.g., desktops, tablets), security equipment, redundancy and disaster recovery (e.g., additional costs or backup equipment). </t>
  </si>
  <si>
    <t>Cost category</t>
  </si>
  <si>
    <t xml:space="preserve">annual discount rate </t>
  </si>
  <si>
    <t>capital depreciation/replacement rate for equipment and hardware</t>
  </si>
  <si>
    <t>Public Source</t>
  </si>
  <si>
    <t>Internal source</t>
  </si>
  <si>
    <t>workshop costs</t>
  </si>
  <si>
    <t>~$550 USD per person for a 2-3 day workshop</t>
  </si>
  <si>
    <t>~340 USD per person for a 1 day workshop</t>
  </si>
  <si>
    <t>~850 USD per person for a 4 - 5 day workshop</t>
  </si>
  <si>
    <t>DUP Roadmap cost assumptions</t>
  </si>
  <si>
    <t>Single server</t>
  </si>
  <si>
    <t xml:space="preserve">1500 USD </t>
  </si>
  <si>
    <t xml:space="preserve">4500 USD </t>
  </si>
  <si>
    <t xml:space="preserve">National Health Information Exchange Costing Tool from Standards and Interoperability Lab - Asia  (SIL-Asia) </t>
  </si>
  <si>
    <t>Minimum $1,500 USD per server</t>
  </si>
  <si>
    <t>Single router</t>
  </si>
  <si>
    <t>600 USD</t>
  </si>
  <si>
    <t>Desktop PC</t>
  </si>
  <si>
    <t>Office laptop</t>
  </si>
  <si>
    <t>3000 USD</t>
  </si>
  <si>
    <t>$600 USD per desktop computer</t>
  </si>
  <si>
    <t>Tablet and case</t>
  </si>
  <si>
    <t>415 USD</t>
  </si>
  <si>
    <t>Mobile phone w/ chargers / SIM card &amp; registration</t>
  </si>
  <si>
    <t>95 USD</t>
  </si>
  <si>
    <t>$415 USD per desktop computer or $95 USD per mobile phone</t>
  </si>
  <si>
    <t>Note: Includes cost of device, charger, and SIM card/registration, if needed.</t>
  </si>
  <si>
    <t>Note: Internet connectivity costs depend on whether separate internet access or SMS costs will be incured for this deployment, where the system is deployed, and what type of server/data hosting is used. Make sure to enter this as an ANNUAL cost. Often connectivity may be a monthly cost, which will need to be multipled by 12.</t>
  </si>
  <si>
    <t xml:space="preserve">Solar charger </t>
  </si>
  <si>
    <t>35 USD per worker/site</t>
  </si>
  <si>
    <t xml:space="preserve">200 USD per worker </t>
  </si>
  <si>
    <t>$35 - 200 USD per user per year</t>
  </si>
  <si>
    <t>User testing</t>
  </si>
  <si>
    <t>220 USD per person day</t>
  </si>
  <si>
    <t>DUP Zanzibar initiatives costing</t>
  </si>
  <si>
    <t>$220-340 USD per person per day</t>
  </si>
  <si>
    <t>$170 - 340 USD per person per day</t>
  </si>
  <si>
    <t>~$550 USD per person for a 2-3 day workshop ($183-275/day)</t>
  </si>
  <si>
    <t>~850 USD per person for a 4 - 5 day workshop ($170-213/day)</t>
  </si>
  <si>
    <t>Data/voice</t>
  </si>
  <si>
    <t>1 USD per worker per month / 12 USD per worker per year</t>
  </si>
  <si>
    <t>7 USD per tablet per month / 84 USD per worker per year</t>
  </si>
  <si>
    <t>$12 - 84 USD per user per year</t>
  </si>
  <si>
    <t xml:space="preserve">new deployment/recurrent training costs </t>
  </si>
  <si>
    <t>ICT Specialists/Managers</t>
  </si>
  <si>
    <t>ICT/Program Officer or Analyst</t>
  </si>
  <si>
    <t>ICT/Logistics/Admin Associates</t>
  </si>
  <si>
    <t>ICT/Logistics/Admin Assistants</t>
  </si>
  <si>
    <t>Currency = US Dollar</t>
  </si>
  <si>
    <t xml:space="preserve">Salaries for: </t>
  </si>
  <si>
    <t>5</t>
  </si>
  <si>
    <t>6</t>
  </si>
  <si>
    <t>7</t>
  </si>
  <si>
    <t>NO-A</t>
  </si>
  <si>
    <t>NO-B</t>
  </si>
  <si>
    <t>NO-C</t>
  </si>
  <si>
    <t>NO-D</t>
  </si>
  <si>
    <t>Multiplier</t>
  </si>
  <si>
    <t>Sources</t>
  </si>
  <si>
    <t xml:space="preserve">Currency </t>
  </si>
  <si>
    <t>Salary data</t>
  </si>
  <si>
    <t xml:space="preserve">Multiplier </t>
  </si>
  <si>
    <t>Solution advisor</t>
  </si>
  <si>
    <t>Country director</t>
  </si>
  <si>
    <t>Administrative assistant</t>
  </si>
  <si>
    <t>Software developer</t>
  </si>
  <si>
    <t>User helpdesk support staff</t>
  </si>
  <si>
    <t>System administrator</t>
  </si>
  <si>
    <t>Database administrator</t>
  </si>
  <si>
    <t>Business analyst</t>
  </si>
  <si>
    <t>Procurement staff</t>
  </si>
  <si>
    <t>TCO job title</t>
  </si>
  <si>
    <t>Associated UN job title</t>
  </si>
  <si>
    <t>Salary (low range)</t>
  </si>
  <si>
    <t xml:space="preserve">Salary (high range) </t>
  </si>
  <si>
    <t xml:space="preserve">Salary based on international UN rates </t>
  </si>
  <si>
    <t>P1</t>
  </si>
  <si>
    <t>P2</t>
  </si>
  <si>
    <t>P3</t>
  </si>
  <si>
    <t>P4</t>
  </si>
  <si>
    <t xml:space="preserve">See Salary input data tab </t>
  </si>
  <si>
    <t>Salary level data - midpoint (USD)</t>
  </si>
  <si>
    <t>What is the server hosting model for this implementation? (Select from dropdown)</t>
  </si>
  <si>
    <t>$600 USD per router</t>
  </si>
  <si>
    <t>Software Development and Adaptation</t>
  </si>
  <si>
    <t>Total cost of software development and adaptation required for deployment</t>
  </si>
  <si>
    <t>Enter cost of a new deployment training per person per day</t>
  </si>
  <si>
    <t>Total cost of server replacement across all sites per year</t>
  </si>
  <si>
    <t>Total cost of router replacement across all sites per year</t>
  </si>
  <si>
    <t>Total cost of desktop computer replacement across all sites per year</t>
  </si>
  <si>
    <t>Total cost of tablet/mobile replacement across all sites per year</t>
  </si>
  <si>
    <t>Total cost of other equipment replacement across all sites per year</t>
  </si>
  <si>
    <t>Enter annual labor costs for a single staff worker if they worked full time on project planning and scoping</t>
  </si>
  <si>
    <t>Enter the amount of effort needed for the implementation services</t>
  </si>
  <si>
    <t>Note: Labor requirements for project management may include: change management, establishing a governance structure (management team, core working group, steering committees), creating and evaluating RFPs, negotiating with vendors, and contracting partners. Consider whether the following typical project management staff are needed: Project managers, solution advisors, program managers, M&amp;E staff, a country director, a digital solutions director, and administrative staff.</t>
  </si>
  <si>
    <t>Enter the amount of effort needed for project planning and scoping</t>
  </si>
  <si>
    <t>Total cost of labor for project planning and scoping for deployment</t>
  </si>
  <si>
    <t xml:space="preserve">Note:  Includes labor for gaps analysis, assessing integration, data modeling, requirements development, site and server assessment, and documentation.  </t>
  </si>
  <si>
    <t>Enter the amount of effort needed for needs assessment and requirements specifications</t>
  </si>
  <si>
    <t>Total cost of labor for needs assessment and requirements specifications for deployment</t>
  </si>
  <si>
    <t>Note: May include other resources such as direct or indirect overhead, documentation activities, etc.</t>
  </si>
  <si>
    <t>Note: Level of effort depends on implementation but typical requirements are 1 - 2 FTE for 2 - 12 months depending on complexity of project. Enter a decimal if it is a fraction of an FTE (e.g. 0.5 for someone working half time or 1.5 for one full time person and a half time person).</t>
  </si>
  <si>
    <t>Note: Level of effort depends on implementation but typical requirements are 1 - 2 FTE for 2 - 6 months depending on complexity of project. Enter a decimal if it is a fraction of an FTE (e.g. 0.5 for someone working half time or 1.5 for one full time person and a half time person).</t>
  </si>
  <si>
    <t>Note: Level of effort depends on implementation but typical requirements are 1 - 3 FTE software developers for 2 - 9 months depending on complexity of project. For language translation/customization, additional 1 - 3 weeks LTE. Enter a decimal if it is a fraction of an FTE (e.g. 0.5 for someone working half time or 1.5 for one full time person and a half time person).</t>
  </si>
  <si>
    <t>0.2 - 2.0</t>
  </si>
  <si>
    <t>0.2 - 1.0</t>
  </si>
  <si>
    <t>0.2 - 2.25</t>
  </si>
  <si>
    <t>Enter the annual labor costs for a single staff worker if they worked full time on implementation services (Enter '0' if not applicable)</t>
  </si>
  <si>
    <t>Note: Level of effort depends on implementation but this is likely to be less than 1 FTE. Enter a decimal if it is a fraction of an FTE (e.g. 0.5 for someone working half time or 1.5 for one full time person and a half time person).</t>
  </si>
  <si>
    <t>Enter the annual labor costs for a single staff worker if they worked full time on needs assessment and requirements specifications</t>
  </si>
  <si>
    <t>Enter the annual labor costs for a single staff worker if they worked full time on software developmnet</t>
  </si>
  <si>
    <t>Enter the amount of effort needed for software development</t>
  </si>
  <si>
    <t>Total cost of labor for software development</t>
  </si>
  <si>
    <t>Note: Enter a decimal if it is a fraction of an FTE (e.g. 0.5 for someone working half time or 1.5 for one full time person and a half time person).</t>
  </si>
  <si>
    <t>Enter the annual labor costs for a single staff worker if they worked full time on integration and interoperability (Enter '0' if not applicable)</t>
  </si>
  <si>
    <t>Enter the annual labor costs for a single staff worker if they worked full time on software development and adaptation (Enter '0' if not applicable)</t>
  </si>
  <si>
    <t>Total annual labor cost of helpdesk support staff</t>
  </si>
  <si>
    <t>Note: Depends on level of support provided and number of end users/sites needing helpdesk support. Enter a decimal if it is a fraction of an FTE (e.g. 0.5 for someone working half time or 1.5 for one full time person and a half time person).</t>
  </si>
  <si>
    <t xml:space="preserve">Enter the amount of effort needed for helpdesk support </t>
  </si>
  <si>
    <t>Enter the annual labor costs for a single helpdesk support staff worker if they worked full time on helpdesk support</t>
  </si>
  <si>
    <t>Enter the amount of effort needed for testing</t>
  </si>
  <si>
    <t xml:space="preserve">Enter the amount of effort needed for software development and adaptation </t>
  </si>
  <si>
    <t>Enter the amount of effort needed for integration and interoperability</t>
  </si>
  <si>
    <t>Enter the amount of effort needed for developing the initial training</t>
  </si>
  <si>
    <t>Total labor costs of developing the initial training</t>
  </si>
  <si>
    <t xml:space="preserve">Calculated by multiplying labor cost by level of effort needed </t>
  </si>
  <si>
    <t>Calculated adding initial labor costs of developing training with costs of deploying training across all sites.</t>
  </si>
  <si>
    <t>Note: Level of effort depends on implementation but typical labor requirements are 1 -2 FTE for 5 - 12 months. Enter a decimal if it is a fraction of an FTE (e.g. 0.5 for someone working half time or 1.5 for one full time person and a half time person).</t>
  </si>
  <si>
    <t>0.4 - 2.0</t>
  </si>
  <si>
    <t>Total annual labor cost for maintenance</t>
  </si>
  <si>
    <t>Enter the amount of effort needed for maintenance</t>
  </si>
  <si>
    <t xml:space="preserve">Note: Level of effort depends on implementation but typical requirements are 1 person at 25% FTE per year. Enter a decimal if it is a fraction of an FTE (e.g. 0.5 for someone working half time or 1.5 for one full time person and a half time person). </t>
  </si>
  <si>
    <t>Enter the amount of effort needed for software testing</t>
  </si>
  <si>
    <t>Total annual labor cost for software testing</t>
  </si>
  <si>
    <t xml:space="preserve">Note: Level of effort depends on implementation. Enter a decimal if it is a fraction of an FTE (e.g. 0.5 for someone working half time or 1.5 for one full time person and a half time person). </t>
  </si>
  <si>
    <t>Total annual labor cost for project management</t>
  </si>
  <si>
    <t>Enter the annual labor costs for a single staff worker if they worked full time on testing (Enter '0' if not applicable)</t>
  </si>
  <si>
    <t>Enter costs of conducting testing with users (Enter '0' if not applicable)</t>
  </si>
  <si>
    <t>Enter the annual labor costs for a single staff worker if they worked full time on developing the initial training (Enter '0' if not applicable)</t>
  </si>
  <si>
    <t>Enter costs of initial training for helpdesk support staff (Enter '0' if not applicable)</t>
  </si>
  <si>
    <t>Enter annual data costs for helpdesk support staff (Enter '0' if not applicable)</t>
  </si>
  <si>
    <t>Enter initial equipment costs for helpdesk support staff (Enter '0' if not applicable)</t>
  </si>
  <si>
    <t>Enter costs of annual recurring helpdesk support training (Enter '0' if not applicable)</t>
  </si>
  <si>
    <t>Enter the annual labor costs for a single staff worker if they worked full time on maintenance (Enter '0' if not applicable)</t>
  </si>
  <si>
    <t>Enter the annual labor costs for a single staff worker if they worked full time on software testing (Enter '0' if not applicable)</t>
  </si>
  <si>
    <t>Enter the annual labor costs for a single staff worker if they worked full time on project management (Enter '0' if not applicable)</t>
  </si>
  <si>
    <t>Enter the amount of effort needed for project management</t>
  </si>
  <si>
    <t>Total annual labor cost for governance</t>
  </si>
  <si>
    <t>Enter the amount of effort needed for governance</t>
  </si>
  <si>
    <t>Enter the annual labor costs for a single staff worker if they worked full time on governance (Enter '0' if not applicable)</t>
  </si>
  <si>
    <t xml:space="preserve">Note: Level of effort depends on implementation. Typical requirement: 50% annual FTE for core staff.  Enter a decimal if it is a fraction of an FTE (e.g. 0.5 for someone working half time or 1.5 for one full time person and a half time person). </t>
  </si>
  <si>
    <t>Total annual labor cost for monitoring &amp; evaluation</t>
  </si>
  <si>
    <t>Enter the amount of effort needed for monitoring &amp; evaluation</t>
  </si>
  <si>
    <t xml:space="preserve">Note: Level of effort depends on implementation and resources for monitoring &amp; evaluation may be shared across other DHIs. Enter a decimal if it is a fraction of an FTE (e.g. 0.5 for someone working half time or 1.5 for one full time person and a half time person). </t>
  </si>
  <si>
    <t>Enter the annual labor costs for a single staff worker if they worked full time on monitoring &amp; evaluation  (Enter '0' if not applicable)</t>
  </si>
  <si>
    <t>Total annual labor cost for procurement</t>
  </si>
  <si>
    <t>Enter  the annual labor costs for a single staff worker if they worked full time on procurement (Enter '0' if not applicable)</t>
  </si>
  <si>
    <t>Enter the amount of effort needed for procurement</t>
  </si>
  <si>
    <t xml:space="preserve">Note: Level of effort depends on implementation but typical requirements are 1 -3 months of 1 FTE per year.  Enter a decimal if it is a fraction of an FTE (e.g. 0.5 for someone working half time or 1.5 for one full time person and a half time person). </t>
  </si>
  <si>
    <t>Note: Includes startup, one-time-only planning and development activities such as costs related to human resources, workshops, requirements gathering, project management and overhead, and software development. In some instances, the project scoping and planning costs have already been invested in order to lay the foundation for a multi-year implementation. If this is the case, and a software has already been identified, the implementation may not require costing for this phase and 'No' should be entered as the user input.</t>
  </si>
  <si>
    <t>Enter number of training days required per site</t>
  </si>
  <si>
    <t>Calculated by multiplying labor cost by level of effort needed .</t>
  </si>
  <si>
    <t>Total cost of solar chargers/generators across all sites per year</t>
  </si>
  <si>
    <t>Total cost of other infrastructure replacement across all sites per year</t>
  </si>
  <si>
    <t>Enter number of sites or users requiring data/voice per year</t>
  </si>
  <si>
    <t>Total labor cost of testing required for deployment</t>
  </si>
  <si>
    <t>Data entry that includes number of sites/users</t>
  </si>
  <si>
    <t>International UN category</t>
  </si>
  <si>
    <t>Grade level</t>
  </si>
  <si>
    <t>Midpoint step within grade level</t>
  </si>
  <si>
    <t>Professional &amp; higher</t>
  </si>
  <si>
    <t>Effective date</t>
  </si>
  <si>
    <t>January 2021</t>
  </si>
  <si>
    <t>Salary range data</t>
  </si>
  <si>
    <t xml:space="preserve">Non-international UN categories </t>
  </si>
  <si>
    <t>M&amp;E manager/ officer</t>
  </si>
  <si>
    <t>Program/ project manager</t>
  </si>
  <si>
    <t>ICT/Logistics/ Admin Assistants</t>
  </si>
  <si>
    <t>ICT/Logistics/ Admin Associates</t>
  </si>
  <si>
    <t>ICT/Logistics/ Admin Associates (Senior)</t>
  </si>
  <si>
    <t>WHO Digital Implementation Investment Guide
VW Total Cost of Ownership for Digital Health Reference Document
DUP Tanzania Digital Health Investment Roadmap</t>
  </si>
  <si>
    <t>VW Total Cost of Ownership for Digital Health Reference Document
DUP Tanzania Digital Health Investment Roadmap</t>
  </si>
  <si>
    <t>DUP Tanzania Digital Health Investment Roadmap
SIL Asia National Health Information Exchange Costing Tool</t>
  </si>
  <si>
    <t>VW Total Cost of Ownership for Digital Health Reference Document
Dimagi's CommCare Total Cost of Ownership Model</t>
  </si>
  <si>
    <t>Note: The server hosting model is the infrastructure where the system’s central software resides. This TCO tool assumes the implementation will be hosted on a local server (at the site of the user), offsite at a central data center, or on a third-party cloud service (such as Amazon Web Services) with adequate stability, security, and infrastructure</t>
  </si>
  <si>
    <t xml:space="preserve"> 2 servers per regional hospital; 1 server per district hospital/health facility</t>
  </si>
  <si>
    <t>1  router per site</t>
  </si>
  <si>
    <t>May be incurred as a per user cost or per site cost</t>
  </si>
  <si>
    <t xml:space="preserve">1 generator per small health facility and/or 1 solar charger per user. </t>
  </si>
  <si>
    <t>1 - 5 days</t>
  </si>
  <si>
    <t>Input testing</t>
  </si>
  <si>
    <t xml:space="preserve">Impact on benchmarking </t>
  </si>
  <si>
    <t xml:space="preserve">Typical requirements: 2 servers per regional hospital and 1 server per district hospital/health facility. Suggested input reflects number of sites entered by user, if applicable. </t>
  </si>
  <si>
    <t xml:space="preserve">Note:  Typical requirements: 1 router per implementation site requiring internet connectivity. Suggested input reflects number of sites entered by user, if applicable. </t>
  </si>
  <si>
    <t xml:space="preserve">Note: Suggested input reflects number of sites entered by user, if applicable. </t>
  </si>
  <si>
    <t>Note: Using existing solar chargers/generators is feasible and reduces deployment costs.Typical requirement: 1 generator per small health facility and/or 1 solar charger per user. Suggested input reflects number of sites entered by user, if applicable. Adjust if costing per user.</t>
  </si>
  <si>
    <t>Total TCO</t>
  </si>
  <si>
    <t>% for development</t>
  </si>
  <si>
    <t>% for deployment</t>
  </si>
  <si>
    <t>% for operations</t>
  </si>
  <si>
    <t>&lt;1%</t>
  </si>
  <si>
    <t>All inputs for cost categories in column A changed to the input below</t>
  </si>
  <si>
    <t>Annual gross salary per full time worker</t>
  </si>
  <si>
    <t>Amount of effort needed</t>
  </si>
  <si>
    <t>Suggested effort input</t>
  </si>
  <si>
    <t>Development phase: Project planning and scoping</t>
  </si>
  <si>
    <t>Position title</t>
  </si>
  <si>
    <r>
      <rPr>
        <b/>
        <sz val="11"/>
        <color theme="1"/>
        <rFont val="Calibri"/>
        <family val="2"/>
        <scheme val="minor"/>
      </rPr>
      <t xml:space="preserve">Instructions: </t>
    </r>
    <r>
      <rPr>
        <sz val="11"/>
        <color theme="1"/>
        <rFont val="Calibri"/>
        <family val="2"/>
        <scheme val="minor"/>
      </rPr>
      <t>Enter data in the yellow boxes below. Some suggestions and guidance are provided. For Amount of effort needed,  enter a decimal if it is a fraction of an FTE (e.g. 0.5 for someone working half time or 1.5 for one full time person and a half time person).</t>
    </r>
  </si>
  <si>
    <t xml:space="preserve">Note: Level of effort depends on implementation but typical requirements are 1 - 2 FTE for 2 - 12 months depending on complexity of project. </t>
  </si>
  <si>
    <t>Development phase: Needs assessment and requirements specifications</t>
  </si>
  <si>
    <t xml:space="preserve">Note: Level of effort depends on implementation but typical requirements are 1 - 2 FTE for 2 - 6 months depending on complexity of project. </t>
  </si>
  <si>
    <t>Development phase: Software development</t>
  </si>
  <si>
    <t xml:space="preserve">Note: Level of effort depends on implementation but typical requirements are 1 - 3 FTE software developers for 2 - 9 months depending on complexity of project. For language translation/customization, additional 1 - 3 weeks LTE. </t>
  </si>
  <si>
    <t>Deployment phase: Implementation services</t>
  </si>
  <si>
    <t xml:space="preserve">Note: Level of effort depends on implementation but this is likely to be less than 1 FTE. </t>
  </si>
  <si>
    <t>Deployment phase: Integration and interoperability</t>
  </si>
  <si>
    <t>Deployment phase: Software development and adaptation</t>
  </si>
  <si>
    <t>Deployment phase: Testing</t>
  </si>
  <si>
    <t>Note: Includes testing the implementation for functionality and stability to prepare for scale. May include labor for software developers and project administrators. Costs depend on type of software implemented. For example, commercial-off-the-shelf solutions and software-as-a-service may include support services, reducing the ongoing cost of testing.</t>
  </si>
  <si>
    <t>Deployment phase: New deployment training</t>
  </si>
  <si>
    <t xml:space="preserve">Note: Includes labor associated with developing a training program, curricula and material. </t>
  </si>
  <si>
    <t>Note: Includes labor associated with developing a training program, curricula and material, as well as labor costs for trainers and facilitators.</t>
  </si>
  <si>
    <t xml:space="preserve">Note: Level of effort depends on implementation but typical labor requirements are 1 -2 FTE for 5 - 12 months. </t>
  </si>
  <si>
    <t xml:space="preserve">Note: May include direct and indirect overhead costs. </t>
  </si>
  <si>
    <t>Operations phase: Recurrent training</t>
  </si>
  <si>
    <t>Note: Includes labor associated with delivering refresher training including labor costs for trainers and facilitators.</t>
  </si>
  <si>
    <t>Note: May be the same or different approach as the new deployment training. Costs are driven largely by the delivery approach (e.g., eLearning, classroom-based training, train-the-trainer, on-the-job training). For example, on-the-job training costs much less than classroom-based training.</t>
  </si>
  <si>
    <t xml:space="preserve">Operations phase: Helpdesk support </t>
  </si>
  <si>
    <t xml:space="preserve">Note: Includes labor associated with initial training for helpdesk support staff, annual labor cost of helpdesk support staff, and labor associated with hiring new helpdesk staff due to turnover. Annual labor costs include Includes labor for operating the system such as system administrators, database administrators, business analysts, as well as a support team that provides ongoing end user support. Costs incurred for reoccurring helpdesk support depend on 1) who is providing support (government staff, implementing partners, or third party vendors), 2) what level of support is provided (level one – basic troubleshooting, level two – complex troubleshooting,  level three – last line of support for bugs and other issues), 3) number of end-users and computer literacy of end-users, 4) whether shared helpdesk across multiple DHIs is available, and 5) type of support model (for example, a lower cost model could include WhatsApp for end-users to report issues versus a formal helpdesk staffed during regular business hours, with a toll-free number outside of business hours). </t>
  </si>
  <si>
    <t>Operations phase: Maintenance</t>
  </si>
  <si>
    <t>Note: Includes maintaining the system (e.g. patches, downtime, scheduled or unscheduled), final SLAs, and maintenance contracts. Labor may include system administrators, database analysts, and business analysts. Costs are higher where a solution is not fit-for-purpose in low-resource contexts and where major software releases and requirements to upgrade to new versions of the technology are necessary. For example, commercial-off-the-shelf solutions and software-as-a-service may include support services, reducing the ongoing cost of maintenance.</t>
  </si>
  <si>
    <t xml:space="preserve">Note: Level of effort depends on implementation but typical requirements are 1 person at 25% FTE per year. </t>
  </si>
  <si>
    <t>Operations phase: Testing</t>
  </si>
  <si>
    <t>Note: Includes testing which can be conducted as discrete scheduled activities for the central system environment including load, security, disaster recovery, and redundancy testing.  Labor may include system administrators, database analysts, and business analysts. Costs depend on type of software implemented. For example, commercial-off-the-shelf solutions and software-as-a-service may include support services, reducing the ongoing cost of testing.</t>
  </si>
  <si>
    <t>Operations phase: Project management</t>
  </si>
  <si>
    <t>Operations phase: Governance</t>
  </si>
  <si>
    <t>Note: Includes labor associated with overall digital health governance in governement ministry, including developing visions, national guidelines, strategic plans, and implementation. May also include labor costs for establishing documents/plans and workshops to align and coordinate governance.</t>
  </si>
  <si>
    <t xml:space="preserve">Note: Level of effort depends on implementation. Typical requirement: 50% annual FTE for core staff.  </t>
  </si>
  <si>
    <t>Operations phase: Monitoring &amp; evaluation</t>
  </si>
  <si>
    <t>Note: Includes cost associated with ongoing management of the project. Costs usually cover the labor for a project manager role.</t>
  </si>
  <si>
    <t>Note: Includes monitoring and evaluating program efficacy and impact. ay include labor costs for creating reporting plans, metrics collection, writing reports, liaising with donors / funders. Monitoring &amp; evaluation activities may be integrated into the responsibilities of project management staff and represented in the project management cost category.</t>
  </si>
  <si>
    <t>Operations phase: Procurement</t>
  </si>
  <si>
    <t>Note: Includes contracting, including identifying requirements, creating RFP, evaluating RFP, and contract negotiation with software implementers and hardware vendors. Typically covers the labor for procurement activities.</t>
  </si>
  <si>
    <t xml:space="preserve">Note: Level of effort depends on implementation but typical requirements are 1 -3 months of 1 FTE per year. </t>
  </si>
  <si>
    <r>
      <rPr>
        <i/>
        <sz val="11"/>
        <rFont val="Calibri"/>
        <family val="2"/>
        <scheme val="minor"/>
      </rPr>
      <t>Sources</t>
    </r>
    <r>
      <rPr>
        <i/>
        <u/>
        <sz val="11"/>
        <color theme="10"/>
        <rFont val="Calibri"/>
        <family val="2"/>
        <scheme val="minor"/>
      </rPr>
      <t xml:space="preserve">
Salary data
Multiplier</t>
    </r>
  </si>
  <si>
    <r>
      <t xml:space="preserve">For the annual gross salary per full time worker, please reference the table on the right: </t>
    </r>
    <r>
      <rPr>
        <u/>
        <sz val="11"/>
        <color rgb="FF0563C1"/>
        <rFont val="Calibri"/>
        <family val="2"/>
        <scheme val="minor"/>
      </rPr>
      <t>Salary based on international UN rates</t>
    </r>
    <r>
      <rPr>
        <sz val="11"/>
        <color theme="1"/>
        <rFont val="Calibri"/>
        <family val="2"/>
        <scheme val="minor"/>
      </rPr>
      <t>. THese salary ranges reflect the best estimate of current gross salaries for relevant job titles based on international United Nations salaries. The salaries are adjusted for cost of living based on the country selected in the Data Inputs tab. These data are intended to be used as guidance to users for determining the cost of labor associated with DHI implementations. However, users are encouraged to use local or project-specific salary data where possible.</t>
    </r>
  </si>
  <si>
    <t>Country-specific multiplier</t>
  </si>
  <si>
    <t>Effective date: January 2021</t>
  </si>
  <si>
    <t>Salary midpoint step within grade level</t>
  </si>
  <si>
    <t xml:space="preserve">Country-adjusted salary </t>
  </si>
  <si>
    <r>
      <t xml:space="preserve">Note: </t>
    </r>
    <r>
      <rPr>
        <sz val="11"/>
        <color theme="1" tint="0.14999847407452621"/>
        <rFont val="Calibri"/>
        <family val="2"/>
        <scheme val="minor"/>
      </rPr>
      <t>The salary ranges provided here reflect the best estimate of current gross salaries for relevant job titles based on international United Nations salaries and adjustments. For lower-level staff without associated United Nations salary scales, salary ranges were extrapolated based on the average percentage increase observed across 20+ countries with data from local salary surveys. The salaries are adjusted for cost of living using a multiplier based on the country selected in the Data Inputs tab. These data are intended to be used as guidance to users for determining the cost of labor associated with DHI implementations. However, users are encouraged to use local or project-specific salary data where possible.</t>
    </r>
  </si>
  <si>
    <t xml:space="preserve"> </t>
  </si>
  <si>
    <t>Does the implementation require costing for project initiation (scoping and planning for implementation)? (Select 'Yes' or 'No' from the Dropdown)</t>
  </si>
  <si>
    <t>Operations (recurring costs)</t>
  </si>
  <si>
    <t>number of districts</t>
  </si>
  <si>
    <t>number of last mile health facilities</t>
  </si>
  <si>
    <t>Calculated</t>
  </si>
  <si>
    <t>Mobile Phones</t>
  </si>
  <si>
    <t>Calculated by multiplying daily rate by level of effort needed.</t>
  </si>
  <si>
    <t>Community health workers</t>
  </si>
  <si>
    <t>Development (one-time costs)</t>
  </si>
  <si>
    <t>Deployment (one-time costs)</t>
  </si>
  <si>
    <t>year 1</t>
  </si>
  <si>
    <t>year 2</t>
  </si>
  <si>
    <t>year 3</t>
  </si>
  <si>
    <t>year 4</t>
  </si>
  <si>
    <t>year 5</t>
  </si>
  <si>
    <t>Calculated by multiplying the infrastructure replacement rate by yearly infrastructure costs identified in the Input - Deployment Costs tab.</t>
  </si>
  <si>
    <t>Calculated by multiplying replacement rate for other equipment by yearly costs identified in the Input - Deployment Costs tab.</t>
  </si>
  <si>
    <t>Calculated by multiplying replacement rate for tablets/mobiles by yearly costs identified in the Input - Deployment Costs tab.</t>
  </si>
  <si>
    <t>Calculated by multiplying replacement rate for desktop computers by yearly costs identified in the Input - Deployment Costs tab.</t>
  </si>
  <si>
    <t>Calculated by multiplying replacement rate for router by yearly costs identified in the Input - Deployment Costs tab.</t>
  </si>
  <si>
    <t>Calculated by multiplying replacement rate for servers by yearly costs identified in the Input - Deployment Costs tab.</t>
  </si>
  <si>
    <t>Helpdesk equipment replacement costs</t>
  </si>
  <si>
    <t>Costs associated with labor, travel, workshops, project management and overhead, and other programmatic, technical, and administrative  costs to carry out planning and development activities.</t>
  </si>
  <si>
    <t xml:space="preserve">Costs associated with purchasing new centralized capital equipment, distributed equipment, security equipment, and redundancy and backup equipment for disaster recovery. </t>
  </si>
  <si>
    <t xml:space="preserve">Costs associated with recurring software licensing costs. </t>
  </si>
  <si>
    <t>Costs associated with recurring data and voice service fees or bundles.</t>
  </si>
  <si>
    <t>Costs of labor and resources for overall digital health governance including developing visions, guidelines, strategic plans, and updated implementation plans.</t>
  </si>
  <si>
    <t>User digital health intervention</t>
  </si>
  <si>
    <t>Benchmark digital health intervention</t>
  </si>
  <si>
    <t>Outputs</t>
  </si>
  <si>
    <t>Inputs</t>
  </si>
  <si>
    <t>&lt;&lt; Menu</t>
  </si>
  <si>
    <t>DigitalSquareTCO@path.org</t>
  </si>
  <si>
    <t>Creative Commons – By Attribution (CC-BY-NC) (https://creativecommons.org/licenses/by-nc/4.0/)</t>
  </si>
  <si>
    <t>Custo Total de Propriedade (TCO)</t>
  </si>
  <si>
    <t>Guia do Utilizador</t>
  </si>
  <si>
    <t xml:space="preserve">Custos de Desenvolvimento </t>
  </si>
  <si>
    <t xml:space="preserve">Custos de Implantação </t>
  </si>
  <si>
    <t>Resumo de Custos</t>
  </si>
  <si>
    <t>Compromisso Orçamental e Lacunas</t>
  </si>
  <si>
    <t>Separadores</t>
  </si>
  <si>
    <t>Feedback ou Comentários:</t>
  </si>
  <si>
    <t>Versão:</t>
  </si>
  <si>
    <t>Data:</t>
  </si>
  <si>
    <t>O sucesso das intervenções de saúde digital em ambientes de baixo recurso depende de vários factores, incluindo a governação, a tecnologia, a política e os recursos financeiros. O sucesso a longo prazo das intervenções de saúde digital depende especialmente da planificação de gastos durante o ciclo de vida da intervenção. Isto só pode ser alcançado quando todos os custos de uma intervenção são compreendidos e documentados. O custo total de propriedade (TCO) refere-se a todos os custos associados à propriedade e operação de uma unidade de equipamento ou tecnologia. Esta ferramenta TCO é um recurso interativo de orçamentação e avaliação comparativa destinado a ajudar os líderes da saúde a compreender e a desenvolver orçamentos mais realistas para projectos de saúde digital. A ferramenta centrar-se-á na identificação de custos ocultos comuns e de factores e variações de custos, especialmente no que se refere aos custos operacionais frequentemente negligenciados na orçamentação</t>
  </si>
  <si>
    <t>Escopo da Ferramenta TCO</t>
  </si>
  <si>
    <t xml:space="preserve"> Componentes de Custo da TCO nas Fases de Implementação</t>
  </si>
  <si>
    <t>O TCO está dividido em três componentes de custo geral cobertos nas fases de implementação: Desenvolvimento, Implantação e Operações. Estes componentes seguem o ciclo de vida geral de uma intervenção de saúde digital, desde o planificação inicial e desenvolvimento, à implementação e escalonamento e finalmente à contínua operação.</t>
  </si>
  <si>
    <t>Visão Geral e Processo do TCO</t>
  </si>
  <si>
    <t>A ferramenta TCO inclui vários separadores para o utilizador, que podem ser navegados utilizando os separadores na parte inferior do ecrã. Os separadores devem ser preenchidos em sequência</t>
  </si>
  <si>
    <t>PARA USAR A FERRAMENTA TCO CORRECTAMENTE, OS SEPARADORES DE ENTRADA DEVEM SER PREENCHIDOS ANTES DE QUALQUER UM DOS SEPARADORES SUBSEQUENTES SEREM REFERENCIADOS.</t>
  </si>
  <si>
    <t>Principais Considerações e Limitações</t>
  </si>
  <si>
    <t>• Todos os custos são baseados na escala de implementação todos os anos, com cada separador de entrada permitindo aos utilizadores introduzir os controladores de custo (como número de dispositivos, nível de esforço, etc.) por ano. Custos únicos (custos de desenvolvimento e implementação) são incorridos num determinado ano se novos locais/utilizadores forem adicionados à implementação. Os custos das operações são suportados todos os anos, dependendo da escala cumulativa de implementação nos anos anteriores. A ferramenta TCO não funciona actualmente para um número de meses num determinado ano para o qual a implantação possa estar activa e faz a estimativa de custos para todo o ano.</t>
  </si>
  <si>
    <t>•  Os custos variam entre produtos e países, mas a proporção dos custos totais atribuídos para desenvolvimento, implantação e operações deve ser similar em todas as intervenções de saúde digital.</t>
  </si>
  <si>
    <t>•  A TCO cobre uma implementação de 5 anos e um cronograma orçamental.</t>
  </si>
  <si>
    <t>•  A TCO é baseada na implementação de um bem público digital (DPG) ou um bem global. Os GPOs são considerados ferramentas de saúde digital de software de código aberto que são adaptáveis a diferentes países e contextos. Para mais informações sobre os DPG e produtos globais, por favor visite o site da Digital Square. Esta TCO pode ainda ser usado para fazer orçamentos e avaliar outros tipos de software, incluindo software disponível para a venda ou modelos de software como serviço. Os custos para estes outros tipos de software podem variar a alocação de custos entre diferentes categorias. Custos adicionais, como licenciamento e subscrições, podem também ser incluídos e devem ser adicionados aos Serviços de Implementação para custos de Implantação e/ou Operações</t>
  </si>
  <si>
    <t>•  •	A ferramenta TCO destina-se a ser utilizada para identificar e recolher dados de custo específicos do utilizador. As entradas sugeridas são fornecidas na ferramenta quando possível, mas apenas devem ser usadas como orientação ampla e devem ser substituídas por dados específicos do utilizador quando disponíveis.</t>
  </si>
  <si>
    <t>Glossário de Termos</t>
  </si>
  <si>
    <t>ADB = Banco Asiático de Desenvolvimento 
DPG = Bem público digital
DUP = Parceria de Uso de Dados da PATH 
FTE = Colaborador permanente
ICT: Tecnologia de informação e comunicação 
RFP: Pedido de propostas
SIL = Laboratório de Padrões e Operabilidade - Ásia 
SMS = Serviço de mensagens curtas
SLA = Acordo de nível de serviços
SOP = Procedimentos Operacionais 
TCO = Custo Total de Propriedade
VW: VitalWave
OMS = Organização Mundial da Saúde</t>
  </si>
  <si>
    <t>Fontes de Dados</t>
  </si>
  <si>
    <t>Esta Ferramenta TCO inclui dados recolhidos a partir de uma variedade de fontes de dados, incluindo:</t>
  </si>
  <si>
    <r>
      <t>•</t>
    </r>
    <r>
      <rPr>
        <sz val="7"/>
        <color theme="1"/>
        <rFont val="Times New Roman"/>
        <family val="1"/>
      </rPr>
      <t xml:space="preserve">   </t>
    </r>
    <r>
      <rPr>
        <u/>
        <sz val="11"/>
        <color rgb="FF0562C1"/>
        <rFont val="Calibri"/>
        <family val="2"/>
        <scheme val="minor"/>
      </rPr>
      <t>Compreender o Custo Total de Propriedade para a Saúde Digital</t>
    </r>
    <r>
      <rPr>
        <sz val="11"/>
        <color theme="1"/>
        <rFont val="Calibri"/>
        <family val="2"/>
        <scheme val="minor"/>
      </rPr>
      <t>, um documento de referência publicado pela VitalWave e pela Digital Square com base em dados primários</t>
    </r>
  </si>
  <si>
    <r>
      <t>•</t>
    </r>
    <r>
      <rPr>
        <sz val="7"/>
        <color theme="1"/>
        <rFont val="Times New Roman"/>
        <family val="1"/>
      </rPr>
      <t xml:space="preserve">   </t>
    </r>
    <r>
      <rPr>
        <sz val="11"/>
        <color theme="1"/>
        <rFont val="Calibri"/>
        <family val="2"/>
        <scheme val="minor"/>
      </rPr>
      <t xml:space="preserve">O </t>
    </r>
    <r>
      <rPr>
        <u/>
        <sz val="11"/>
        <color rgb="FF0562C1"/>
        <rFont val="Calibri"/>
        <family val="2"/>
        <scheme val="minor"/>
      </rPr>
      <t xml:space="preserve">Modelo de Custo Total de Propriedade </t>
    </r>
    <r>
      <rPr>
        <sz val="11"/>
        <color theme="1"/>
        <rFont val="Calibri"/>
        <family val="2"/>
        <scheme val="minor"/>
      </rPr>
      <t>para a manutenção de uma solução móvel, desenvolvido pela Dimagi com base na aplicação CommCare.</t>
    </r>
  </si>
  <si>
    <r>
      <t>•</t>
    </r>
    <r>
      <rPr>
        <sz val="7"/>
        <color theme="1"/>
        <rFont val="Times New Roman"/>
        <family val="1"/>
      </rPr>
      <t xml:space="preserve">   </t>
    </r>
    <r>
      <rPr>
        <u/>
        <sz val="11"/>
        <color rgb="FF0562C1"/>
        <rFont val="Calibri"/>
        <family val="2"/>
        <scheme val="minor"/>
      </rPr>
      <t>Planificando um projecto de sistemas de informação: Um Kit de Ferramentas para Gestores de Saúde Pública</t>
    </r>
    <r>
      <rPr>
        <sz val="11"/>
        <color rgb="FF0562C1"/>
        <rFont val="Calibri"/>
        <family val="2"/>
        <scheme val="minor"/>
      </rPr>
      <t xml:space="preserve"> </t>
    </r>
    <r>
      <rPr>
        <sz val="11"/>
        <color theme="1"/>
        <rFont val="Calibri"/>
        <family val="2"/>
        <scheme val="minor"/>
      </rPr>
      <t>, publicado pelo PATH para ajudar a planificar implementações de saúde</t>
    </r>
  </si>
  <si>
    <r>
      <t>•</t>
    </r>
    <r>
      <rPr>
        <sz val="7"/>
        <color theme="1"/>
        <rFont val="Times New Roman"/>
        <family val="1"/>
      </rPr>
      <t xml:space="preserve">   </t>
    </r>
    <r>
      <rPr>
        <u/>
        <sz val="11"/>
        <color rgb="FF0562C1"/>
        <rFont val="Calibri"/>
        <family val="2"/>
        <scheme val="minor"/>
      </rPr>
      <t>Manual do Utilizador do Digital Health Impact Framework</t>
    </r>
    <r>
      <rPr>
        <sz val="11"/>
        <color theme="1"/>
        <rFont val="Calibri"/>
        <family val="2"/>
        <scheme val="minor"/>
      </rPr>
      <t>, publicado pelo Banco Asiático de Desenvolvimento (ADB) como metodologia para avaliar a saúde digital</t>
    </r>
  </si>
  <si>
    <r>
      <t>•</t>
    </r>
    <r>
      <rPr>
        <sz val="7"/>
        <color theme="1"/>
        <rFont val="Times New Roman"/>
        <family val="1"/>
      </rPr>
      <t xml:space="preserve">   </t>
    </r>
    <r>
      <rPr>
        <u/>
        <sz val="11"/>
        <color rgb="FF0562C1"/>
        <rFont val="Calibri"/>
        <family val="2"/>
        <scheme val="minor"/>
      </rPr>
      <t>Ferramenta de Custeio do Intercâmbio Nacional de Informação em Saúde</t>
    </r>
    <r>
      <rPr>
        <sz val="11"/>
        <color rgb="FF0562C1"/>
        <rFont val="Calibri"/>
        <family val="2"/>
        <scheme val="minor"/>
      </rPr>
      <t xml:space="preserve"> </t>
    </r>
    <r>
      <rPr>
        <sz val="11"/>
        <color theme="1"/>
        <rFont val="Calibri"/>
        <family val="2"/>
        <scheme val="minor"/>
      </rPr>
      <t>do Laboratório de Padrões e Interoperabilidade - Ásia (SIL-Ásia) com apoio do Desenvolvimento Asiático</t>
    </r>
  </si>
  <si>
    <r>
      <t>•</t>
    </r>
    <r>
      <rPr>
        <sz val="7"/>
        <color theme="1"/>
        <rFont val="Times New Roman"/>
        <family val="1"/>
      </rPr>
      <t xml:space="preserve">   </t>
    </r>
    <r>
      <rPr>
        <sz val="11"/>
        <color theme="1"/>
        <rFont val="Calibri"/>
        <family val="2"/>
        <scheme val="minor"/>
      </rPr>
      <t>Pesquisa secundária sobre intervenções de saúde digital e custos associados e categorias de custos.</t>
    </r>
  </si>
  <si>
    <r>
      <t>•</t>
    </r>
    <r>
      <rPr>
        <sz val="7"/>
        <color theme="1"/>
        <rFont val="Times New Roman"/>
        <family val="1"/>
      </rPr>
      <t xml:space="preserve">   </t>
    </r>
    <r>
      <rPr>
        <sz val="11"/>
        <color theme="1"/>
        <rFont val="Calibri"/>
        <family val="2"/>
        <scheme val="minor"/>
      </rPr>
      <t>Retorno de utilizadores a nível nacional, implementadores, consultores técnicos, consultores digitais de saúde.</t>
    </r>
  </si>
  <si>
    <r>
      <t xml:space="preserve">   •</t>
    </r>
    <r>
      <rPr>
        <sz val="7"/>
        <color theme="1"/>
        <rFont val="Times New Roman"/>
        <family val="1"/>
      </rPr>
      <t xml:space="preserve">   </t>
    </r>
    <r>
      <rPr>
        <sz val="11"/>
        <color theme="1"/>
        <rFont val="Arial"/>
        <family val="2"/>
      </rPr>
      <t xml:space="preserve">O </t>
    </r>
    <r>
      <rPr>
        <u/>
        <sz val="11"/>
        <color rgb="FF0562C1"/>
        <rFont val="Calibri"/>
        <family val="2"/>
        <scheme val="minor"/>
      </rPr>
      <t>Roteiro de Investimento em Saúde Digital da Parceria de Uso de Dados da Tanzânia 2017 a 2023</t>
    </r>
    <r>
      <rPr>
        <sz val="11"/>
        <color theme="1"/>
        <rFont val="Arial"/>
        <family val="2"/>
      </rPr>
      <t xml:space="preserve">, </t>
    </r>
    <r>
      <rPr>
        <sz val="11"/>
        <color theme="1"/>
        <rFont val="Calibri"/>
        <family val="2"/>
        <scheme val="minor"/>
      </rPr>
      <t>publicado pela PATH com base nos dados primários recolhidos para um conjunto de 17 recomendações prioritárias de investimento em saúde digital com actividades específicas, custos e prazos.</t>
    </r>
  </si>
  <si>
    <r>
      <t xml:space="preserve">   •</t>
    </r>
    <r>
      <rPr>
        <sz val="7"/>
        <color theme="1"/>
        <rFont val="Times New Roman"/>
        <family val="1"/>
      </rPr>
      <t xml:space="preserve">   </t>
    </r>
    <r>
      <rPr>
        <u/>
        <sz val="11"/>
        <color rgb="FF0562C1"/>
        <rFont val="Calibri"/>
        <family val="2"/>
        <scheme val="minor"/>
      </rPr>
      <t>Guia de Investimento em Implementação Digital (DIIG): Integrando Interventions Digitais nos Programas de Saúde</t>
    </r>
    <r>
      <rPr>
        <sz val="11"/>
        <color theme="1"/>
        <rFont val="Calibri"/>
        <family val="2"/>
        <scheme val="minor"/>
      </rPr>
      <t>, um documento de referência publicado pela OMS como um guia prático para que os países desenvolvam um plano de implementação de custos para a saúde digital.</t>
    </r>
  </si>
  <si>
    <t>Informações de Contacto</t>
  </si>
  <si>
    <t>Se tiver alguma dúvida ou feedback sobre a ferramenta, por favor envie e-mail para  DigitalSquareTCO@path.org</t>
  </si>
  <si>
    <r>
      <t xml:space="preserve">Criado por: </t>
    </r>
    <r>
      <rPr>
        <b/>
        <sz val="10"/>
        <color theme="1"/>
        <rFont val="Arial"/>
        <family val="2"/>
      </rPr>
      <t>PATH/Digital Square</t>
    </r>
  </si>
  <si>
    <r>
      <t xml:space="preserve">Financiado por: </t>
    </r>
    <r>
      <rPr>
        <b/>
        <sz val="10"/>
        <color theme="1"/>
        <rFont val="Arial"/>
        <family val="2"/>
      </rPr>
      <t>Bill &amp; Melinda Gates Foundation</t>
    </r>
  </si>
  <si>
    <t>Modificações</t>
  </si>
  <si>
    <t>Observe que a pasta de trabalho baseada no Microsoft Excel está bloqueada para facilitar o uso do modelo e limitar a entrada de dados errónea desactivando células bloqueadas. Se desejar desbloquear a ferramenta para uso ou modificação avançada, por favor use a senha "TCOv1 ". Recomenda-se vivamente que mantenha trancado o livro de trabalho antes do uso.</t>
  </si>
  <si>
    <t>Isenção de Responsabilidade</t>
  </si>
  <si>
    <t>A ferramenta Custo Total de Propriedade (TCO) da saúde digital é um modelo Microsoft Excel desenvolvido pela PATH para estimar o custo total de desenvolvimento, implantação e operação de uma Intervenções de saúde digital em mercados de baixa maturidade em saúde digital durante um período de cinco anos. A ferramenta é apenas para uso informativo, não comercial. A precisão, integridade, adequação ou actualidade da ferramenta não é comprovada ou garantida. Os resultados da ferramenta dependem dos pressupostos e valores introduzidos pelos utilizadores, e os utilizadores da ferramenta são, por si só, responsáveis pelos resultados gerados pela ferramenta que os utilizadores concordam em não usar ou confiar na ferramenta como um substituto ou exclusão da consulta com profissionais independentes ou especialistas.</t>
  </si>
  <si>
    <t>Licença</t>
  </si>
  <si>
    <t>Input do utilizador</t>
  </si>
  <si>
    <t>Input sugerido
(se relevante)
 (if  relevant)</t>
  </si>
  <si>
    <t>Notas e orientação</t>
  </si>
  <si>
    <t>Âmbito de Implementação</t>
  </si>
  <si>
    <t>Digite o nome do país onde a implementação está a decorrer (seleccione a partir do menu suspenso)</t>
  </si>
  <si>
    <t>Se deseja calcular os custos em moeda local, insira a actual taxa de câmbio da moeda local para 1 USD (insira '1,00' se o USD for a moeda preferida)</t>
  </si>
  <si>
    <t>Número total de locais</t>
  </si>
  <si>
    <t>Esta ferramenta destina-se apenas a ser utilizada em países com um mercado de saúde digital mais baixo (1 a 3). Apenas esses países estão incluídos na opção suspensa.
Fonte da Digital Square Digital Health Market Maturity: https://digitalsquare.org/market‐</t>
  </si>
  <si>
    <t>A entrada deve ser um número.</t>
  </si>
  <si>
    <t>Digite apenas o número de novos locais onde a intervenção é implantada a cada ano. O modelo calculará os custos para o número total de locais para os respectivos anos. Por exemplo, se a intervenção for implantada em 100 locais no Ano 1 e em 300 novos locais adicionais no Ano 2, os custos operacionais para o Ano 2 terão em conta 400 locais.</t>
  </si>
  <si>
    <t>Calculado</t>
  </si>
  <si>
    <t>Input sugerido
(se for relevante)
 (if  relevant)</t>
  </si>
  <si>
    <t>Incluem actividades de arranque, planificação único e desenvolvimento, tais como custos relacionados com recursos humanos, workshops, recolha de requisitos, gestão de projectos e despesas gerais, e ainda desenvolvimento de software</t>
  </si>
  <si>
    <t>Custos de Desenvolvimento</t>
  </si>
  <si>
    <t>A implementação requer custos para a iniciação do projecto (escopo e planeamento para implementação)? (Seleccione 'Sim' ou 'Não' no menu suspenso)</t>
  </si>
  <si>
    <t>Digite a taxa diária para um único funcionário que trabalha na planificação e escopo do projecto</t>
  </si>
  <si>
    <t>Insira o nível de esforço (nº de dias) necessário para a planificação e escopo do projecto</t>
  </si>
  <si>
    <t>Insira o custo de viagem necessário para o pessoal da planificação do projecto e seu esco</t>
  </si>
  <si>
    <t>Insira os custos de workshop para a planificação e escopo do projecto</t>
  </si>
  <si>
    <t>Insira qualquer outros custos de planificação e escopo do projecto (Insira '0' se não aplicável)</t>
  </si>
  <si>
    <t>Avaliação de necessidades e especificações de requisitos</t>
  </si>
  <si>
    <t>Insira a taxa diária de um único funcionário que trabalha na avaliação das necessidades e nas especificações dos requisitos</t>
  </si>
  <si>
    <t>Insira o nível de esforço (n.º de dias) necessário para a avaliação das necessidades e as especificações dos requisitos</t>
  </si>
  <si>
    <t>Insira quaisquer outros custos para a avaliação das necessidades e especificações de requisitos (Insira '0' se não for aplicável</t>
  </si>
  <si>
    <t>Desenvolvimento de software</t>
  </si>
  <si>
    <t>Digite a taxa diária para um único funcionário trabalhando em tempo integral no desenvolvimento de software</t>
  </si>
  <si>
    <t>Insira o nível de esforço (número de dias) necessário para o desenvolvimento de software</t>
  </si>
  <si>
    <t>Os requisitos laborais para a gestão de projectos podem incluir: Gestão de mudanças, estabelecimento de uma estrutura de governação (equipa de gestão, grupo de trabalho central, comités de direcção), criação e avaliação de RFPs, negociação com fornecedores e parceiros contratados. Considerem se são necessários os seguintes funcionários típicos de gestão de projectos: Gestores de projectos, consultores de soluções, gestores de programas, pessoal de M&amp;E, director do país, um director de soluções digitais e pessoal administrativo.</t>
  </si>
  <si>
    <t>O nível de esforço depende da implementação, mas os requisitos típicos são de 1 - 2 FTE para 2 - 12 meses dependendo da complexidade do projecto. Digite o número total de dias para todo o pessoal (por exemplo, se 2 funcionários trabalham 60 dias cada, o nível de esforço é de 120</t>
  </si>
  <si>
    <t>Requisitos típicos: 1 2 FTE para realizar o escopo do projecto por menos de 1 ano com viagens mensais por 4 5 dias para locais de implementação subnacionais. Certifique-se de calcular o seguinte com base no número de workshops e no número de dias por workshop:
- Per diem (subsídio diário)
- Custos de transporte</t>
  </si>
  <si>
    <t>Requisitos típicos: 2 a 3 workshops ao longo de 1 3 dias por workshop com 20 a 40 participantes para reunir feedback/input e depois finalizar e construir um consenso.
Certifique-se de calcular o seguinte com base no número de workshops e no número de dias por workshop:
‐ Subsídio diário por participante
- Custo de facilitadores (normalmente 1 facilitador por cada 20 participantes)
- Acomodação por participante a viajar para o workshop
- Custo de viagem por participante que viaja para o workshop
- Refeições por dia
- Local por dia</t>
  </si>
  <si>
    <t>Pode incluir custos gerais directos e indirectos</t>
  </si>
  <si>
    <t>Inclui trabalho para análise de lacunas, avaliação da integração, modelagem de dados,
desenvolvimento de requisitos, avaliação de local e servidor e ainda a documentação</t>
  </si>
  <si>
    <t>O nível de esforço depende da implementação, mas os requisitos típicos são de 1 a 2 FTE durante 2 a 6 meses dependendo da complexidade do projecto. Digite o número total de dias para todo o pessoal (por exemplo, se 2 funcionários trabalham 60 dias cada, o nível de esforço é de 120)</t>
  </si>
  <si>
    <t>Pode incluir outros recursos, como custos gerais directos e indirectos, actividades de documentação, etc.</t>
  </si>
  <si>
    <t>Inclui mão-de-obra necessária para desenvolver, adaptar, personalizar e localizar o software para as necessidades e funcionalidades do projecto a nível do país. Estes custos de mão-de-obra variam significativamente consoante o caso dependendo de se o software é uma configuração personalizada completa ou personalização/adaptação de um bem público digital.</t>
  </si>
  <si>
    <t>O nível de esforço depende da implementação, mas os requisitos típicos são 1 a 3 programadores de software FTE durante 2 a 9 meses, dependendo da complexidade do projecto. Para tradução/personalização de línguas, 1 a 3 semanas adicionais de LTE. Digite o número total de dias para todo o pessoal (por exemplo, se 2 funcionários trabalham 60 dias cada, o nível de esforço é de 120)</t>
  </si>
  <si>
    <t>Incluem despesas de capital associadas à implantação da solução em um determinado número de locais. Os custos de implantação são tipicamente caracterizados como custos de "inicio de actividades", embora as reais actividades de implementação podem ocorrer ao longo de vários anos (normalmente a duração do prazo do contrato de implementação) à medida que o sistema é dimensionado. As categorias de custos incluem custos únicos para equipamentos (por exemplo, computadores portáteis, telemóveis), infra-estruturas (por exemplo, geradores de reserva, alojamento, ligação à internet, energia), formação em novas implementações, serviços de implementação, mais actualizações de interoperabilidade e integrações de sistemas, e desenvolvimento de software adicional para resolver problemas e solicitações de mudança encontradas durante o período de implantação.</t>
  </si>
  <si>
    <t>Custos de Implantação</t>
  </si>
  <si>
    <t>Equipamento</t>
  </si>
  <si>
    <t>Inclui equipamento de capital centralizado (por exemplo, servidores, dispositivos de armazenamento, computadores portáteis de desenvolvimento e de gestor de programas, routers, switches), equipamento distribuído (por exemplo, computadores de secretária, tablets, telemóveis para profissionais de saúde da linha de frente), equipamento de segurança (por exemplo, caixas seguras, fechaduras, outros equipamentos para proteger dispositivos), redundância e recuperação de desastres (por exemplo, custos adicionais ou equipamento de backup)</t>
  </si>
  <si>
    <t>Se um governo aloca custos de equipamento nos orçamentos anuais dos sistemas de saúde ou se as implementações utilizam equipamentos existentes, os custos de equipamento podem ser omitidos dos orçamentos de implementação. Os custos de equipamento também podem ser partilhados em mais de um projecto.</t>
  </si>
  <si>
    <t>A implementação irá partilhar equipamento com outro projecto? (Seleccione 'Sim' ou 'Não')</t>
  </si>
  <si>
    <t>Insira o custo de um único servidor</t>
  </si>
  <si>
    <t>Digite o número de servidores que precisam ser comprados por ano</t>
  </si>
  <si>
    <t>Ano 1</t>
  </si>
  <si>
    <t>Ano 2</t>
  </si>
  <si>
    <t>Ano 3</t>
  </si>
  <si>
    <t>Ano 4</t>
  </si>
  <si>
    <t>Ano 5</t>
  </si>
  <si>
    <t>Insira o custo de um único roteador</t>
  </si>
  <si>
    <t xml:space="preserve">Digite o número de roteadores que precisam ser comprados por ano </t>
  </si>
  <si>
    <t>Insira o custo de um único computador desktop</t>
  </si>
  <si>
    <t>Digite o número de computadores que precisam ser comprados por ano</t>
  </si>
  <si>
    <t>Insira o custo de um único tablet ou telemóvel</t>
  </si>
  <si>
    <t>Digite o número de tablets ou telemóveis que precisam de ser comprados para cada</t>
  </si>
  <si>
    <t>Insira o custo total de qualquer outro equipamento que precise de ser adquirido por cada ano (Insira '0' se não for aplicável)</t>
  </si>
  <si>
    <t>Infra-estrutura</t>
  </si>
  <si>
    <t>A implementação irá utilizar a infra-estrutura existente ou partilhar a infra-estrutura com outro projecto? (Insira 'Sim' ou 'Não')</t>
  </si>
  <si>
    <t>Digite o número de carregadores solares ou geradores que precisam ser comprados</t>
  </si>
  <si>
    <t>Insira o custo de um único carregador solar ou gerador</t>
  </si>
  <si>
    <t>nsira o custo total de outras infra-estruturas que precisam de ser adquiridas em cada ano (Insira '0' se não for aplicável)</t>
  </si>
  <si>
    <t>Serviços de Implementação</t>
  </si>
  <si>
    <t>Insira a taxa diária para um único colaborador que trabalha nos serviços de implementação (Insira '0' se não for aplicável)</t>
  </si>
  <si>
    <t>Insira o nível de esforço (número de dias) necessário para os serviços de implementação</t>
  </si>
  <si>
    <t>Insira o custo total de outros custos de serviço de implementação necessários durante a implementação de 5 anos para cada ano (Insira '0' se não for aplicável)</t>
  </si>
  <si>
    <t>Integração e Interoperabilidade</t>
  </si>
  <si>
    <t>Insira a taxa diária de um único colaborador que trabalha na integração e na interoperabilidade (Insira '0' se não for aplicável</t>
  </si>
  <si>
    <t xml:space="preserve">Insira o nível de esforço (n.º de dias) necessário para a integração e a interoperabilidade </t>
  </si>
  <si>
    <t>Desenvolvimento e Adaptação de Software</t>
  </si>
  <si>
    <t>Insira a taxa diária para um único colaborador que trabalha no desenvolvimento e adaptação de software (Insira '0' se não for aplicável)</t>
  </si>
  <si>
    <t>Insira o nível de esforço (número de dias) necessário para o desenvolvimento e adaptação de software para cada ano</t>
  </si>
  <si>
    <t>Testes</t>
  </si>
  <si>
    <t>Insira a taxa diária para um único colaborador a trabalhar nos testes (Insira '0' se não for aplicável)</t>
  </si>
  <si>
    <t xml:space="preserve">Insira o nível de esforço (n.º de dias) necessário para os testes por ano </t>
  </si>
  <si>
    <t>nsira os custos de realização de testes com utilizadores para cada ano (Insira '0' se não for o Ano 1)</t>
  </si>
  <si>
    <t>Nova formação de implementação</t>
  </si>
  <si>
    <t>Formação de Formadores</t>
  </si>
  <si>
    <t>Insira o custo de formação de mestres formadores</t>
  </si>
  <si>
    <t>Formação do utilizador final</t>
  </si>
  <si>
    <t>Insira o tipo de treino do utilizador final a ser utilizado (seleccione a partir do menu pendente)</t>
  </si>
  <si>
    <t>Insira o custo total de desenvolvimento de material para a formação inicial de cada ano (Insira '0' se não for aplicável)</t>
  </si>
  <si>
    <t xml:space="preserve">Insira o número de dias por sessão de formação necessária para a implementação inicial </t>
  </si>
  <si>
    <t>Insira o número de utilizadores que necessitam de novas formações de implementação em cada Ano</t>
  </si>
  <si>
    <t>Insira o custo subsídio para cada formando</t>
  </si>
  <si>
    <t xml:space="preserve">Digite o número de participantes que podem ser treinados em uma sessão de treinamento baseada em sala de aula </t>
  </si>
  <si>
    <t>Insira o número de formadores por sessão de treino baseada na sala de aula, se aplicável</t>
  </si>
  <si>
    <t>Insira a taxa diária média para cada formador por formação baseada em sala de aula, se aplicável</t>
  </si>
  <si>
    <t>, Insira o custo do subsídio para cada formador, se for aplicável</t>
  </si>
  <si>
    <t>Insira quaisquer outros custos de formação por dia</t>
  </si>
  <si>
    <t>&lt;-- Expanda para ver cálculos intermédios para novas formações de implementação (utilizando a palavra-passe fornecida no separador do Manual do Utilizador).</t>
  </si>
  <si>
    <t>Os custos do servidor dependerão do tipo de servidor. Considere os custos de aplicação, serviço e base de dados</t>
  </si>
  <si>
    <t>Inclui servidores se for uma implementação auto-hospedada. Não são necessários servidores se a implementação estiver hospedada num servidor baseado na nuvem. Requisitos típicos: 2 servidores por hospital nacional e regional.</t>
  </si>
  <si>
    <t xml:space="preserve">Requisitos típicos: 1 roteador por local de implementação que requer ligação à internet, normalmente hospitais nacionais e regionais.
</t>
  </si>
  <si>
    <t xml:space="preserve">$1,500 USD por servidor </t>
  </si>
  <si>
    <t>$200 USD por roteador</t>
  </si>
  <si>
    <t>$600 USD por computador desktop</t>
  </si>
  <si>
    <t>Requisitos típicos: 1 a 2 computadores por hospital nacional, regional e distrital. Usar computadores desktop existentes talvez seja viável e reduza os custos de implantação.</t>
  </si>
  <si>
    <t>Certifique-se de inserir este custo incluindo o custo do dispositivo, carregador e cartão SIM/registo, se necessário.</t>
  </si>
  <si>
    <t>$415 dólares por tablet ou $95 dólares por telemóvel</t>
  </si>
  <si>
    <t>O uso de tablets/telemóveis já usados pelos profissionais de saúde pode ser viável e irá reduzir os custos de implementação.</t>
  </si>
  <si>
    <t>Podem incluir custos para equipamento adicional não suportado, tais como dispositivos de armazenamento, chaves, equipamento de segurança, equipamento de cópia de segurança para redundância e recuperação em caso de desastres.</t>
  </si>
  <si>
    <t>Incluir electricidade, alojamento de centros de dados e conectividade (por exemplo, acesso à Internet, custos de SMS),
geradores ou cargas solares.</t>
  </si>
  <si>
    <t>Se um governo aloca custos de infra-estrutura nos orçamentos anuais dos sistemas de saúde ou se as implementações utilizam infra-estruturas existentes, os custos de infra-estrutura podem ser omitidos
dos orçamentos de implementação. Os custos de infra-estrutura podem ser partilhados em mais de um projecto.</t>
  </si>
  <si>
    <t>Usar carregadores/geradores solares existentes talvez seja viável e reduzirá os custos de implantação. Requisito típico: 1 gerador por pequena instalação de saúde e/ou 1 carregador solar por utilizador.</t>
  </si>
  <si>
    <t>Pode incluir qualquer outro equipamento relacionado com a infra-estrutura para o qual não tenha custos.</t>
  </si>
  <si>
    <t>Inclui a configuração inicial das definições, das contas de utilizador e da configuração dos dados (migração de dados e configuração de esquemas personalizados e/ou tipos de dados).</t>
  </si>
  <si>
    <t>Mão-de-obra da equipa de software para a configuração de definições/contas de utilizador, migração de dados e configuração de esquemas/tipos de dados personalizados. Algumas implantações podem não exigir serviços de implementação; em
tais casos não devem ser introduzidos custos.</t>
  </si>
  <si>
    <t>Digite o número total de dias para todo o pessoal (por exemplo, se 2 colaboradores estiverem a trabalhar 60 dias cada, nível de esforço é 120. Considere o nível de esforço em relação ao número de novos locais onde a intervenção será implementado em cada ano)</t>
  </si>
  <si>
    <t>Inclui mão-de-obra para comunicação e conformidade de normas entre sistemas e configuração.</t>
  </si>
  <si>
    <t>Trabalho de pessoal de software para comunicação e conformidade de normas entre sistemas e configuração. Os custos de integração e de interoperabilidade também podem ocorrer durante o desenvolvimento inicial de software ou na fase operacional durante a manutenção e testes. Se o software não for capaz de comunicar com o software existente, a adaptação é coberta pela personalização do software.</t>
  </si>
  <si>
    <t>Digite o número total de dias para todo o pessoal (por exemplo, se 2 colaboradores trabalham 60 dias cada, o nível de esforço é de 120. Considerar o nível de esforço em relação ao número de novos locais onde a intervenção será implantada em cada ano)</t>
  </si>
  <si>
    <t>Inclui trabalho de desenvolvimento associado a grandes modificações e personalizações, âmbito e expansão contínua do produto (adição de recursos para suportar novas funcionalidades), geração de relatórios.</t>
  </si>
  <si>
    <t>Os custos são principalmente impulsionados pela mão-de-obra para os desenvolvedores, administradores de projectos e utilizadores. Os custos dependem do tipo de software implementado. Por exemplo, soluções comerciais e disponíveis para a venda  e software 
como um serviço podem incluir serviços de suporte, reduzindo o custo contínuo dos testes.</t>
  </si>
  <si>
    <t>Digite o número total de dias para todo o pessoal (por exemplo, se 2 colaboradores estiverem a trabalhar 60 dias cada, nível de esforço é 120. Considerar o nível de esforço em relação ao número de novos locais onde a intervenção será implantada em cada ano)</t>
  </si>
  <si>
    <t>Pode incluir o custo de conduzir uma oficina de testes de aceitação do utilizador ou testes de utilizadores no local. Por exemplo, viagens, aluguer de instalações e alimentação para facilitadores e utilizadores. Requisitos típicos: 1 facilitador deve estar presente para cada 20 participantes presumidos. Os custos devem ter em conta o número de dias, o número de participantes e a localização dos testes.</t>
  </si>
  <si>
    <t>Inclui o desenvolvimento de uma estrutura de treino, Procedimentos (SOP),
currículo de formação e material, plataforma de eLearning e um programa de formação de formadores, conforme aplicável.</t>
  </si>
  <si>
    <t>A formação de formadores é uma actividade única no Ano 1 e cobrirá todas as funcionalidades oferecidas pela intervenção de saúde digital . Os instrutores mestres treinam subsequentemente os utilizadores em vários níveis do sistema de saúde ao longo de fases subsequentes do projecto.</t>
  </si>
  <si>
    <t>Os custos são impulsionados em grande parte pela abordagem de entrega (por exemplo, eLearning, formação em sala de aula, formação no local de trabalho). Por exemplo, a formação no local de trabalho custa muito menos do que a baseada na sala de aulas</t>
  </si>
  <si>
    <t>Inclui trabalho associado ao desenvolvimento de um programa de formação, currículos e material. O custo do desenvolvimento da formação é independente do número de locais, mas irá variar se novas funcionalidades forem adicionadas à intervenção digital de saúde. O material desenvolvido no Ano 1 pode ser usado para os anos seguintes, a menos que sejam desenvolvidas novas funcionalidades que exijam o desenvolvimento de material de formação</t>
  </si>
  <si>
    <t>$35 - 200 USD por unidade</t>
  </si>
  <si>
    <t>1 - 3 dias</t>
  </si>
  <si>
    <t xml:space="preserve">$50-100 por pessoa por dia </t>
  </si>
  <si>
    <t>O input sugerido reflecte o número de locais inseridos pelo utilizador, se for aplicável.</t>
  </si>
  <si>
    <t xml:space="preserve">Insira taxa de substituição anual para servidores </t>
  </si>
  <si>
    <t>Insira a taxa de substituição anual para os roteadores</t>
  </si>
  <si>
    <t xml:space="preserve">Insira taxa de substituição anual para computadores desktop </t>
  </si>
  <si>
    <t>Insira a taxa de substituição anual para tablets/telemóveis</t>
  </si>
  <si>
    <t>Insira a taxa de substituição anual para outro equipamento</t>
  </si>
  <si>
    <t xml:space="preserve">N.º de servidores substituídos durante o período de 5 anos </t>
  </si>
  <si>
    <t>N.º de roteadores substituídos durante o período de 5 anos</t>
  </si>
  <si>
    <t xml:space="preserve">N.º de computadores de secretária substituídos durante o período de 5 anos </t>
  </si>
  <si>
    <t>N.º de tablets/telemóveis substituídos durante o período de 5 anos</t>
  </si>
  <si>
    <t>Inclui custos contínuos para substituir equipamento à medida que se torna obsoleto ou não funcional. A taxa de substituição baseia-se na vida útil esperada. Por exemplo, se a vida útil esperada for de 4 anos, a taxa de substituição é de 1/4 = 25%.
A taxa anual de substituição é aplicada ao número total de unidades de equipamento no sistema em cada ano. Por exemplo, se forem adicionadas vinte unidades de equipamento por ano, no primeiro ano a taxa de substituição é aplicada a vinte unidades de equipamento enquanto no segundo ano é aplicada a 40 unidades de equipamento e no terceiro ano é aplicado a 60 unidades de equipamento e assim por diante.</t>
  </si>
  <si>
    <t>Inclui custos associados à operação contínua de uma intervenções de saúde digital.                                                                                                                                                                                                                                                       Normalmente inclui custos anuais de substituição de hardware, serviços de dados e voz, 
licenças e assinaturas, formação recorrente ou de actualização, suporte de assistência técnica, manutenção e testes, gestão de projectos, governação, monitoria e avaliação, e serviços de aquisição.</t>
  </si>
  <si>
    <t>Mostra-se que indica o número de equipamento a ser substituído durante o período de 5 anos. Os custos de equipamento orçados em 'Outros equipamentos' não são mostrados aqui, uma vez que a entrada para outros equipamentos era um custo e não uma quantidade. No entanto, a entrada para a taxa de substituição anual para outros equipamentos é usada para calcular o custo total de substituição para outros equipamentos.</t>
  </si>
  <si>
    <t>Inclui custos contínuos para substituir infra-estruturas, como carregadores solares, à medida que se tornam obsoletos ou não funcionais. A taxa de substituição baseia-se na vida útil esperada. Por exemplo, se a vida útil esperada for de 4 anos, a taxa de substituição é de 1/4 = 25%.
A taxa anual de substituição é aplicada ao número total de unidades de equipamento no sistema em cada ano. Por exemplo, se forem adicionadas vinte unidades de equipamento por ano, no primeiro ano a taxa de substituição é aplicada a vinte unidades de equipamento enquanto no segundo ano é aplicada a 40 unidades de equipamento e no terceiro ano é aplicado a 60 unidades de equipamento e assim por diante.</t>
  </si>
  <si>
    <t>Inclui custos recorrentes de licenciamento de software, se for aplicável.</t>
  </si>
  <si>
    <t>Se o sistema é um bem global, os custos são tipicamente open source com zero taxas de licenciamento. Software de apoio (por exemplo, bases de dados, sistemas operativos) pode exigir taxas de licenciamento.</t>
  </si>
  <si>
    <t>O factor de custo pode ser maior do que o número de locais. Por exemplo, se 2 utilizadores do mesmo local tiverem taxas, então Insira o número de utilizadores.</t>
  </si>
  <si>
    <t>Inclui dados recorrentes e taxas ou pacotes de serviço de voz.</t>
  </si>
  <si>
    <t>Pode não exigir orçamento se os serviços de dados/voz existirem no ambiente do sistema de saúde e puderem ser partilhados. Os custos podem variar por país, mas podem ser tão baixos quanto 1 dólares por mês por utilizador de telemóvel ou 7 dólares por utilizador de tablet. Certifique-se de inserir isto como um custo ANUAL.</t>
  </si>
  <si>
    <t>Dependendo de onde o sistema é implantado, pode ser incorrido como um custo por usuário ou por custo de local. Estes custos podem ser partilhados por outros programas ou verticais de saúde.</t>
  </si>
  <si>
    <t>Inclui todos os elementos para ministrar formação de reciclagem e formação de rotatividade de pessoal a intervalos definidos. Actividades-chave, incluindo tempo do formador, materiais de formação e qualquer viagem necessária.</t>
  </si>
  <si>
    <t>A formação de reciclagem pode seguir uma abordagem semelhante ou diferente da nova formação de implementação. Os custos são impulsionados em grande parte pela abordagem de entrega (por exemplo, eLearning, formação em sala de aula, formação no local de trabalho). Por exemplo, a formação no local de trabalho custa muito menos do que a baseada na sala de aula.</t>
  </si>
  <si>
    <t>Talvez sejam necessários cursos de actualização para utilizadores que tenham dificuldade em utilizar a intervenções de saúde digital, conforme pretendido, ou quando novas funcionalidades são adicionadas. O custo do desenvolvimento de formações de actualização é independente do número de utilizadores e o material desenvolvido para novas formações de implementação pode ser reutilizado.</t>
  </si>
  <si>
    <t>Talvez sejam necessários cursos de actualização para utilizadores que tenham dificuldade em utilizar a intervenções de saúde digital, conforme pretendido, ou quando novas funcionalidades são adicionadas. A entrada sugerida reflecte o número de locais inseridos pelo utilizador, se for aplicável. Considere o número total de locais onde a intervenções de saúde digital foi implementada ao Insira o número de utilizadores que necessitam de formação de reciclagem.</t>
  </si>
  <si>
    <t>Os custos incorridas para a assistência do helpdesk reincidente dependem de 1) quem está a prestar a assistência (pessoal do governo, parceiros de implementação ou fornecedores terceiros), 2) que nível de suporte é fornecido (nível um – resolução de problemas básica, nível dois – resolução de problemas complexos, nível três – última linha de suporte para erros e outros problemas), 3) número de utilizadores finais e literacia informática dos utilizadores finais, 4) se está disponível uma assistência partilhada em várias intervenções de saúde digital, e 5) tipo de modelo de suporte (por exemplo, um modelo de custo mais baixo poderia incluir o WhatsApp para os utilizadores finais relatarem problemas em comparação com um serviço de assistência formal com pessoal durante o horário comercial normal, com uma de chamadas grátis para o horário fora do expediente).</t>
  </si>
  <si>
    <t>Pode ser a mesma abordagem ou diferente como a nova formação de implementação. Os custos são impulsionados em grande parte pela abordagem de entrega (por exemplo, eLearning, formação em sala de aula, formação no local de trabalho). Por exemplo, a formação no local de trabalho custa muito menos do que a formação em sala de aula.</t>
  </si>
  <si>
    <t>Inclui mão-de-obra para operar o sistema, como administradores de sistemas, administradores de bases de dados, analistas de negócios, bem como uma equipe de suporte que fornece suporte contínuo ao usuário final.</t>
  </si>
  <si>
    <t>Digite o número total de dias para todo o pessoal (por exemplo, se 2 colaboradores trabalham 60 dias cada, o nível de esforço é de 120). Considerem o nível de esforço em relação ao número de novos locais onde a intervenção será implantada em cada ano. 1 FTE normalmente funcionam 225 dias por ano, mas varia de país para país.</t>
  </si>
  <si>
    <t xml:space="preserve">Inclui equipamento de capital (por exemplo, computadores portáteis, telemóveis, tablets), custos de redundância (por exemplo, custos adicionais ou equipamento de reserva).
</t>
  </si>
  <si>
    <t>Inclui custos contínuos para substituir equipamento à medida que se torna obsoleto ou não funcional. Pode ser estimado com base na vida útil esperada.
A taxa anual de substituição é aplicada ao número total de unidades de equipamento no sistema em cada ano. Por exemplo, se forem adicionadas vinte unidades de equipamento por ano, no primeiro ano a taxa de substituição é aplicada a vinte unidades de equipamento enquanto no segundo ano é aplicada a 40 unidades de equipamento e no terceiro ano é aplicada a 60 unidades de equipamento e assim por diante.</t>
  </si>
  <si>
    <t>Inclui todos os elementos para ministrar formação de reciclagem e formação de rotatividade de pessoal a intervalos definidos. Actividades chave, incluindo o tempo do formador, materiais de formação e qualquer viagem necessária.</t>
  </si>
  <si>
    <t>Inclui a manutenção do sistema (por exemplo, patches, tempo de inactividade, programado ou não programado), SLAs finais,</t>
  </si>
  <si>
    <t>Os custos são impulsionados principalmente pela mão-de-obra para administradores de sistemas, analistas de bases de dados e analistas de negócios. Os custos são mais elevados quando uma solução não é adequada para o propósito em contextos de baixo recurso e onde são necessários grandes lançamentos de software e requisitos para actualizar para novas versões da tecnologia. Por exemplo, soluções comerciais disponíveis para a venda e software como serviço podem incluir serviços de suporte, reduzindo o custo contínuo de manutenção.</t>
  </si>
  <si>
    <t>Digite o número total de dias para todo o pessoal (por exemplo, se 2 colaboradores trabalham 60 dias cada, o nível de esforço é de 120). Considerem o nível de esforço em relação ao número de novos locais onde a intervenção será implantada em cada ano.</t>
  </si>
  <si>
    <t>Inclui testes que podem ser realizados como actividades programadas discretas para o ambiente do sistema central incluindo carga, segurança, recuperação de desastres e testes de redundância.</t>
  </si>
  <si>
    <t>Os custos são principalmente impulsionados pela mão-de-obra para administradores de sistemas, analistas de bases de dados e analistas de negócios. Os custos dependem do tipo de software implementado. Por exemplo, soluções comerciais e software como serviço podem incluir serviços de suporte, reduzindo o custo contínuo de testes.</t>
  </si>
  <si>
    <t>Inclui a transferência de propriedade do(s) fornecedor(es) de implementação para o governo. Maio</t>
  </si>
  <si>
    <t>Os custos de transferência de propriedade podem não ser aplicáveis a todas as intervenções de saúde digital.</t>
  </si>
  <si>
    <t>Inclui o custo associado à gestão contínua do projecto.</t>
  </si>
  <si>
    <t>Os custos normalmente cobrem a mão-de-obra para uma função de gerente de projecto.</t>
  </si>
  <si>
    <t>Inclui transporte ad hoc e rotineiro e comunicações entre o pessoal principal para o projecto
gestão e execução.</t>
  </si>
  <si>
    <t>Requisitos típicos: 2 dias de viagem por mês para 1 a 2 FTE. Os custos dependerão da escala de implantação e do número de locais para onde viajar.</t>
  </si>
  <si>
    <t>Inclui recursos ou tempo associados à governação global da saúde digital no governo
ministério, incluindo visões de desenvolvimento, directrizes nacionais, planos estratégicos e implementação.</t>
  </si>
  <si>
    <t>Pode incluir custos de mão-de-obra para estabelecer documentos/planos e workshops para alinhar e coordenar a governação.</t>
  </si>
  <si>
    <t>Inclui a contratação, incluindo requisitos de identificação, criação de RFP, avaliação de RFP, e negociação de contratos com implementadores de software e fornecedores de hardware</t>
  </si>
  <si>
    <t>Normalmente cobre a mão-de-obra para actividades de aquisições</t>
  </si>
  <si>
    <t>1 - 2 dias</t>
  </si>
  <si>
    <t>$50-100 por pessoa por dia</t>
  </si>
  <si>
    <t>Substituição da Infra-estrutura</t>
  </si>
  <si>
    <t>Insira a taxa anual de substituição da infra-estrutura</t>
  </si>
  <si>
    <t>Nº de carregadores solares substituídos durante o período de 5 anos</t>
  </si>
  <si>
    <t>Licenciamento e Assinaturas de Software</t>
  </si>
  <si>
    <t>Serviços de Dados e Voz</t>
  </si>
  <si>
    <t>Insira dados anuais/custos de voz para um único local ou utilizador</t>
  </si>
  <si>
    <t>Digite o número de novos locais ou usuários que precisam de dados/voz por ano</t>
  </si>
  <si>
    <t>Formação de Reciclagem</t>
  </si>
  <si>
    <t>Insira o tipo de treino recorrente a ser utilizado (seleccionar a partir do menu pendente)</t>
  </si>
  <si>
    <t>Insira o custo total de desenvolvimento da formação de reciclagem (Insira '0' se não for aplicável)</t>
  </si>
  <si>
    <t>Insira o custo de subsídio (per diem) para cada formando</t>
  </si>
  <si>
    <t>&lt;-- Expanda para ver cálculos intermédios para formação de actualização (utilizando a palavra-passe fornecida no separador do Manual do Utilizador)</t>
  </si>
  <si>
    <t>Assistência do Helpdesk</t>
  </si>
  <si>
    <t>Insira os custos da formação inicial para o pessoal de suporte técnico (Insira '0' se não for aplicável)</t>
  </si>
  <si>
    <t>Insira a taxa diária de um único colaborador de suporte técnico que trabalha no suporte técnico</t>
  </si>
  <si>
    <t xml:space="preserve">Insira os custos anuais de dados para o pessoal de suporte técnico (Insira '0' se não for aplicável) </t>
  </si>
  <si>
    <t>Insira a taxa anual de substituição de equipamento para o pessoal de assistência técnic</t>
  </si>
  <si>
    <t>Insira os custos da formação anual de suporte de assistência recorrente (Insira '0' se não for aplicável)</t>
  </si>
  <si>
    <t>Insira o custo total de outros custos anuais de assistência ao serviço de assistência 
(Insira '0' se não for aplicável)</t>
  </si>
  <si>
    <t>Manutenção</t>
  </si>
  <si>
    <t xml:space="preserve">Insira o nível de esforço (n.º de dias) necessário para a manutenção </t>
  </si>
  <si>
    <t xml:space="preserve">Insira o nível de esforço (nº de dias) necessário para o teste de software </t>
  </si>
  <si>
    <t>Transferência de Propriedade</t>
  </si>
  <si>
    <t xml:space="preserve">Insira a transferência anual do custo de propriedade, se aplicável </t>
  </si>
  <si>
    <t>Gestão do Projecto</t>
  </si>
  <si>
    <t xml:space="preserve">Insira o nível de esforço (nº de dias) necessário para a gestão do projecto </t>
  </si>
  <si>
    <t>Transporte e Comunicação</t>
  </si>
  <si>
    <t xml:space="preserve">
Insira o custo anual de transporte e comunicação (Insira '0' se não for aplicável) </t>
  </si>
  <si>
    <t>Governação</t>
  </si>
  <si>
    <t>Insita a taxa diária para um único colaborador a trabalhar na governação (Insira "0" se não aplicavel)</t>
  </si>
  <si>
    <t>Insira o nível de esforço (n° de dias) necessário para governação</t>
  </si>
  <si>
    <t>Monitoria &amp;  Avaliação</t>
  </si>
  <si>
    <t xml:space="preserve">Aquisições </t>
  </si>
  <si>
    <t>Insira a taxa diária para um único colaborador que trabalha na área de Aquisições (Insira '0' se não for aplicável)</t>
  </si>
  <si>
    <t>Insira o nível de esforço (n° de dias) necessario para aquisição</t>
  </si>
  <si>
    <t>Custos totais</t>
  </si>
  <si>
    <t xml:space="preserve">Ano 1 </t>
  </si>
  <si>
    <t xml:space="preserve">Ano 2 </t>
  </si>
  <si>
    <t xml:space="preserve">Total </t>
  </si>
  <si>
    <t>Desenvolvimento (custos de única vez)</t>
  </si>
  <si>
    <t xml:space="preserve">Avaliação de Necessidades e Especificações de Requisitos	</t>
  </si>
  <si>
    <t>Desenvolvimento de Software</t>
  </si>
  <si>
    <t>Implantação (custos de única vez)</t>
  </si>
  <si>
    <t>Nova Formação em Implementação</t>
  </si>
  <si>
    <t>Operações (custos recorrentes)</t>
  </si>
  <si>
    <t>Substituição do Equipamento</t>
  </si>
  <si>
    <t>Monitoria e avaliação</t>
  </si>
  <si>
    <t>Custo Total de Propriedade de 5 Anos</t>
  </si>
  <si>
    <t>Fase de Implementação</t>
  </si>
  <si>
    <t>Descrição</t>
  </si>
  <si>
    <t xml:space="preserve">Custo de referência  </t>
  </si>
  <si>
    <t>Custo de Input</t>
  </si>
  <si>
    <t>Orientação</t>
  </si>
  <si>
    <t>Compare o seu custo da intervenções de saúde digital com o benchmarking das intervenções de saúde digital</t>
  </si>
  <si>
    <t>Custos Totais de 5 anos</t>
  </si>
  <si>
    <t xml:space="preserve">Gestão do Projecto </t>
  </si>
  <si>
    <t>Avaliação de Necessidades e Especificações de Requisitos</t>
  </si>
  <si>
    <t xml:space="preserve">Serviços de Implementação   </t>
  </si>
  <si>
    <t xml:space="preserve">Integração e Interoperabilidade </t>
  </si>
  <si>
    <t>Monitoria &amp; Avaliação</t>
  </si>
  <si>
    <t>Compromissos</t>
  </si>
  <si>
    <t>Governo</t>
  </si>
  <si>
    <t>% do Orçamento e Lacuna</t>
  </si>
  <si>
    <t>% de item de linha total de compromisso</t>
  </si>
  <si>
    <t>Lacuna no financiamento</t>
  </si>
  <si>
    <t xml:space="preserve">Desenvolvimento </t>
  </si>
  <si>
    <t xml:space="preserve">Implantações </t>
  </si>
  <si>
    <t xml:space="preserve">Operações </t>
  </si>
  <si>
    <t>1 de Dezembro de 2022</t>
  </si>
  <si>
    <r>
      <t>•</t>
    </r>
    <r>
      <rPr>
        <sz val="7"/>
        <color theme="1"/>
        <rFont val="Times New Roman"/>
        <family val="1"/>
      </rPr>
      <t xml:space="preserve">   </t>
    </r>
    <r>
      <rPr>
        <sz val="11"/>
        <color theme="1"/>
        <rFont val="Calibri"/>
        <family val="2"/>
        <scheme val="minor"/>
      </rPr>
      <t>Fontes adicionais sugeridas são fornecidas em cada folha de entrada e podem ser visualizadas clicando no sinal ‘+’ no canto superior direito de cada folha depois de abrir a folha.</t>
    </r>
  </si>
  <si>
    <r>
      <t xml:space="preserve">Esta ferramenta TCO destina-se a ser usada como um recurso orçamental e de referência para países com maturidades do mercado de saúde digital mais baixas (níveis 1-3, ver fonte abaixo). Orçamentação e avaliação comparativa do custo das intervenções de saúde digital em maturidades do mercado de saúde digital mais altas está fora do âmbito desta ferramenta. A ferramenta TCO pode ser usada em várias intervenções de saúde digital para compreender as categorias gerais de custos e a repartição de custos em diferentes fases de implementação. Especificamente, a TCO pode ser usada para identificar os custos associados a intervenções de saúde digital que são destinadas a um grande número de utilizadores de última milha (por exemplo, trabalhadores comunitários de saúde), bem como intervenções de saúde digital que são adaptadas </t>
    </r>
    <r>
      <rPr>
        <sz val="11"/>
        <color theme="1"/>
        <rFont val="Calibri"/>
        <family val="2"/>
      </rPr>
      <t>à</t>
    </r>
    <r>
      <rPr>
        <sz val="11"/>
        <color theme="1"/>
        <rFont val="Calibri"/>
        <family val="2"/>
        <scheme val="minor"/>
      </rPr>
      <t xml:space="preserve"> gest</t>
    </r>
    <r>
      <rPr>
        <sz val="11"/>
        <color theme="1"/>
        <rFont val="Calibri"/>
        <family val="2"/>
      </rPr>
      <t>ã</t>
    </r>
    <r>
      <rPr>
        <sz val="11"/>
        <color theme="1"/>
        <rFont val="Calibri"/>
        <family val="2"/>
        <scheme val="minor"/>
      </rPr>
      <t>o do sistema de sa</t>
    </r>
    <r>
      <rPr>
        <sz val="11"/>
        <color theme="1"/>
        <rFont val="Calibri"/>
        <family val="2"/>
      </rPr>
      <t>ú</t>
    </r>
    <r>
      <rPr>
        <sz val="11"/>
        <color theme="1"/>
        <rFont val="Calibri"/>
        <family val="2"/>
        <scheme val="minor"/>
      </rPr>
      <t>de de nivel nacional. O Utilizador ter</t>
    </r>
    <r>
      <rPr>
        <sz val="11"/>
        <color theme="1"/>
        <rFont val="Calibri"/>
        <family val="2"/>
      </rPr>
      <t xml:space="preserve">á de </t>
    </r>
    <r>
      <rPr>
        <sz val="11"/>
        <color theme="1"/>
        <rFont val="Calibri"/>
        <family val="2"/>
        <scheme val="minor"/>
      </rPr>
      <t>estimar e inserir custos associados com v</t>
    </r>
    <r>
      <rPr>
        <sz val="11"/>
        <color theme="1"/>
        <rFont val="Calibri"/>
        <family val="2"/>
      </rPr>
      <t>á</t>
    </r>
    <r>
      <rPr>
        <sz val="11"/>
        <color theme="1"/>
        <rFont val="Calibri"/>
        <family val="2"/>
        <scheme val="minor"/>
      </rPr>
      <t>rios componentes da interven</t>
    </r>
    <r>
      <rPr>
        <sz val="11"/>
        <color theme="1"/>
        <rFont val="Calibri"/>
        <family val="2"/>
      </rPr>
      <t>çã</t>
    </r>
    <r>
      <rPr>
        <sz val="11"/>
        <color theme="1"/>
        <rFont val="Calibri"/>
        <family val="2"/>
        <scheme val="minor"/>
      </rPr>
      <t>o de sa</t>
    </r>
    <r>
      <rPr>
        <sz val="11"/>
        <color theme="1"/>
        <rFont val="Calibri"/>
        <family val="2"/>
      </rPr>
      <t>ú</t>
    </r>
    <r>
      <rPr>
        <sz val="11"/>
        <color theme="1"/>
        <rFont val="Calibri"/>
        <family val="2"/>
        <scheme val="minor"/>
      </rPr>
      <t>de digital, embora a TCO n</t>
    </r>
    <r>
      <rPr>
        <sz val="11"/>
        <color theme="1"/>
        <rFont val="Calibri"/>
        <family val="2"/>
      </rPr>
      <t>ã</t>
    </r>
    <r>
      <rPr>
        <sz val="11"/>
        <color theme="1"/>
        <rFont val="Calibri"/>
        <family val="2"/>
        <scheme val="minor"/>
      </rPr>
      <t>o providencia orienta</t>
    </r>
    <r>
      <rPr>
        <sz val="11"/>
        <color theme="1"/>
        <rFont val="Calibri"/>
        <family val="2"/>
      </rPr>
      <t>çõ</t>
    </r>
    <r>
      <rPr>
        <sz val="11"/>
        <color theme="1"/>
        <rFont val="Calibri"/>
        <family val="2"/>
        <scheme val="minor"/>
      </rPr>
      <t>es sobre os custos estimados. A TCO destina-se a ser abrangente, mas depende do utilizador individual determinar que custos ser</t>
    </r>
    <r>
      <rPr>
        <sz val="11"/>
        <color theme="1"/>
        <rFont val="Calibri"/>
        <family val="2"/>
      </rPr>
      <t>ã</t>
    </r>
    <r>
      <rPr>
        <sz val="11"/>
        <color theme="1"/>
        <rFont val="Calibri"/>
        <family val="2"/>
        <scheme val="minor"/>
      </rPr>
      <t>o necess</t>
    </r>
    <r>
      <rPr>
        <sz val="11"/>
        <color theme="1"/>
        <rFont val="Calibri"/>
        <family val="2"/>
      </rPr>
      <t>á</t>
    </r>
    <r>
      <rPr>
        <sz val="11"/>
        <color theme="1"/>
        <rFont val="Calibri"/>
        <family val="2"/>
        <scheme val="minor"/>
      </rPr>
      <t>rios para a sua espec</t>
    </r>
    <r>
      <rPr>
        <sz val="11"/>
        <color theme="1"/>
        <rFont val="Calibri"/>
        <family val="2"/>
      </rPr>
      <t>í</t>
    </r>
    <r>
      <rPr>
        <sz val="11"/>
        <color theme="1"/>
        <rFont val="Calibri"/>
        <family val="2"/>
        <scheme val="minor"/>
      </rPr>
      <t>fica implementa</t>
    </r>
    <r>
      <rPr>
        <sz val="11"/>
        <color theme="1"/>
        <rFont val="Calibri"/>
        <family val="2"/>
      </rPr>
      <t>çã</t>
    </r>
    <r>
      <rPr>
        <sz val="11"/>
        <color theme="1"/>
        <rFont val="Calibri"/>
        <family val="2"/>
        <scheme val="minor"/>
      </rPr>
      <t>o.</t>
    </r>
  </si>
  <si>
    <t xml:space="preserve">Guia do Utilizador </t>
  </si>
  <si>
    <r>
      <t>Inclui o custo associado ao trabalho (programático, técnico e administrativo), viagem para reuni</t>
    </r>
    <r>
      <rPr>
        <i/>
        <sz val="11"/>
        <color theme="1"/>
        <rFont val="Calibri"/>
        <family val="2"/>
      </rPr>
      <t>õ</t>
    </r>
    <r>
      <rPr>
        <i/>
        <sz val="11"/>
        <color theme="1"/>
        <rFont val="Calibri"/>
        <family val="2"/>
        <scheme val="minor"/>
      </rPr>
      <t>es e workshops, e despesas gerais de organização. Excluir quaisquer custos de mão-de-obra associados à avaliação de necessidades ou actividades de desenvolvimento de software.</t>
    </r>
  </si>
  <si>
    <t>Em alguns casos, o escopo do projecto e os custos de planeamento já foram investidos para estabelecer as bases para uma implementação de vários anos. Se este for o caso, e um software já tiver sido identificado, a implementação pode não exigir custos para esta fase e 'Não' deve ser inserido como entrada do utilizador.</t>
  </si>
  <si>
    <t>$12 - 84 USD por utilizador por dia</t>
  </si>
  <si>
    <t>Pode ou não exigir orçamento, uma vez que estes serviços existem dentro dos ambientes dos sistemas de saúde e podem ser partilhados. Requisitos típicos: $4 por utilizador por mês utilizando um tablet ou telemóvel. Os custos podem variar por país, mas podem ser tão baixos quanto 1 dólares/mês por utilizador de telemóvel ou 7 dólares/mês por utilizador de tablet. Certifique-se de inserir isto como um custo ANUAL.</t>
  </si>
  <si>
    <t>Fase I: Desenvolvimento</t>
  </si>
  <si>
    <r>
      <t>Fase II: Implanta</t>
    </r>
    <r>
      <rPr>
        <b/>
        <sz val="11"/>
        <color theme="0"/>
        <rFont val="Calibri"/>
        <family val="2"/>
      </rPr>
      <t>çã</t>
    </r>
    <r>
      <rPr>
        <b/>
        <sz val="11"/>
        <color theme="0"/>
        <rFont val="Calibri"/>
        <family val="2"/>
        <scheme val="minor"/>
      </rPr>
      <t xml:space="preserve">o </t>
    </r>
  </si>
  <si>
    <r>
      <t xml:space="preserve">Se tiver alguma sugestão ou retorno sobre a avaliação comparativa, envie um e-mail para </t>
    </r>
    <r>
      <rPr>
        <b/>
        <sz val="11"/>
        <color theme="1"/>
        <rFont val="Calibri"/>
        <family val="2"/>
        <scheme val="minor"/>
      </rPr>
      <t>DigitalSquareTCO@path.org</t>
    </r>
  </si>
  <si>
    <r>
      <t xml:space="preserve">Instruções: NÃO </t>
    </r>
    <r>
      <rPr>
        <sz val="11"/>
        <color theme="1" tint="0.14999847407452621"/>
        <rFont val="Calibri"/>
        <family val="2"/>
        <scheme val="minor"/>
      </rPr>
      <t>use este separador se os separadores de Input estiverem incompletos. O separador Benchmarking (Avaliação Comparativa) só pode ser usado se os separadores de entrada tiverem sido completamente preenchidos. O Benchmarking permite que os utilizadores comparem os custos relativos da sua intervenções de saúde digital para uma TCO para implementação a nível nacional de um Bem Global (um Bem Público Digital maduro) num ambiente de baixos recursos. Embora existam razões válidas para se desviarem da referência, os utilizadores podem optar por regressar aos separadores de entrada para revisitar os custos, se lhes for dada orientação.</t>
    </r>
    <r>
      <rPr>
        <b/>
        <sz val="11"/>
        <color theme="1" tint="0.14999847407452621"/>
        <rFont val="Calibri"/>
        <family val="2"/>
        <scheme val="minor"/>
      </rPr>
      <t xml:space="preserve">
Nota: </t>
    </r>
    <r>
      <rPr>
        <sz val="11"/>
        <color theme="1" tint="0.14999847407452621"/>
        <rFont val="Calibri"/>
        <family val="2"/>
        <scheme val="minor"/>
      </rPr>
      <t>Se a intervenções de saúde digital for destinada a um grande número de locais/utilizadores finais, os custos da fase de desenvolvimento serão provavelmente uma parte menor do TCO, uma vez que esses custos não são escaláveis.</t>
    </r>
  </si>
  <si>
    <t>Total de custos por ano</t>
  </si>
  <si>
    <r>
      <t xml:space="preserve">Instruções: NÃO </t>
    </r>
    <r>
      <rPr>
        <sz val="11"/>
        <rFont val="Calibri"/>
        <family val="2"/>
        <scheme val="minor"/>
      </rPr>
      <t>use este separador se os separadores de Input estiverem incompletos. Este separador mostra o custo da intervenções de saúde digital durante um período de 5 anos, de forma resumida. Este separador só deve ser utilizado depois de terem sido preenchidos os separadores de Input e Orientação – Separador de Benchmarking já preenchido.</t>
    </r>
  </si>
  <si>
    <r>
      <t>Instruções: NÃO</t>
    </r>
    <r>
      <rPr>
        <sz val="11"/>
        <color theme="1" tint="0.14999847407452621"/>
        <rFont val="Calibri"/>
        <family val="2"/>
        <scheme val="minor"/>
      </rPr>
      <t xml:space="preserve"> use este separador se os separadores de Input estiverem incompletos. O separador de compromissos e lacunas orçamentais mostra o custo total ao longo de um ciclo de vida de 5 anos da intervenções de saúde digital com compromissos de financiamento do governo e de outros intervenientes. Insira os dados nas caixas amarelas abaixo com base nos compromissos planificados ou existentes para cada fase de implementação e categoria de custos.</t>
    </r>
  </si>
  <si>
    <t xml:space="preserve">Transporte e Comunicação </t>
  </si>
  <si>
    <t xml:space="preserve">Stakeholder   1 </t>
  </si>
  <si>
    <r>
      <t>Aquisições (</t>
    </r>
    <r>
      <rPr>
        <i/>
        <sz val="11"/>
        <color theme="1"/>
        <rFont val="Calibri"/>
        <family val="2"/>
        <scheme val="minor"/>
      </rPr>
      <t>Procurement</t>
    </r>
    <r>
      <rPr>
        <sz val="11"/>
        <color theme="1"/>
        <rFont val="Calibri"/>
        <family val="2"/>
        <scheme val="minor"/>
      </rPr>
      <t>)</t>
    </r>
  </si>
  <si>
    <t>Digite a taxa diária para um único colaborador que trabalha na gestão do projecto (Insira '0' se não aplicável)</t>
  </si>
  <si>
    <t>Insira a taxa diária para um único colaborador que trabalha na monitoria e avaliação (Insira '0' se não aplicável)</t>
  </si>
  <si>
    <t xml:space="preserve">Insira o nível de esforço (nº de dias) necessário para monitoria e avaliação </t>
  </si>
  <si>
    <t>Insira a taxa diária de um único colaborador a trabalhar em testes de software (Insira '0' se não aplicável)</t>
  </si>
  <si>
    <t>Insira a taxa diária para um único colaborador a trabalhar na manutenção (Insira '0' se não aplicável)</t>
  </si>
  <si>
    <t>Insira o custo total de qualquer equipamento que precise de ser adquirido para o pessoal de suporte técnico por cada ano (Insira '0' se não aplicável)</t>
  </si>
  <si>
    <t xml:space="preserve">Insira o nível de esforço (nº de dias) necessário para o suporte </t>
  </si>
  <si>
    <t xml:space="preserve">Insira nº de dias por sessão de formação de actualização por ano. </t>
  </si>
  <si>
    <t>Insira o número de utilizadores que participam na formação de actualização.</t>
  </si>
  <si>
    <t xml:space="preserve">Digite o número de locais ou utilizadores para os quais os custos de licenciamento se aplicam. </t>
  </si>
  <si>
    <t>Insira o licenciamento anual de software e os custos de subscrição por local ou utilizador (Insira '0' se não aplicável).</t>
  </si>
  <si>
    <r>
      <t>Custos de Opera</t>
    </r>
    <r>
      <rPr>
        <b/>
        <sz val="16"/>
        <color theme="1"/>
        <rFont val="Calibri"/>
        <family val="2"/>
      </rPr>
      <t>çõ</t>
    </r>
    <r>
      <rPr>
        <b/>
        <sz val="16"/>
        <color theme="1"/>
        <rFont val="Calibri"/>
        <family val="2"/>
        <scheme val="minor"/>
      </rPr>
      <t xml:space="preserve">es </t>
    </r>
  </si>
  <si>
    <r>
      <t>Instruções:</t>
    </r>
    <r>
      <rPr>
        <sz val="11"/>
        <rFont val="Calibri"/>
        <family val="2"/>
        <scheme val="minor"/>
      </rPr>
      <t xml:space="preserve"> Insira os dados nas caixas amarelas abaixo. Seleccione a sua resposta no menu suspenso quando instruído para "seleccionar a partir do menu suspenso". Todas as caixas amarelas devem ser preenchidas, excepto quando especificado o contrário. As entradas sugeridas são fornecidas quando possível; no entanto, estas entradas destinam-se apenas a uma orientação ampla e não devem substituir os inputs específicos do utilizador.</t>
    </r>
  </si>
  <si>
    <r>
      <t>Custos de Operaç</t>
    </r>
    <r>
      <rPr>
        <u/>
        <sz val="11"/>
        <color theme="10"/>
        <rFont val="Calibri"/>
        <family val="2"/>
      </rPr>
      <t>õ</t>
    </r>
    <r>
      <rPr>
        <u/>
        <sz val="11"/>
        <color theme="10"/>
        <rFont val="Calibri"/>
        <family val="2"/>
        <scheme val="minor"/>
      </rPr>
      <t>es</t>
    </r>
  </si>
  <si>
    <r>
      <t xml:space="preserve">Instruções: </t>
    </r>
    <r>
      <rPr>
        <sz val="11"/>
        <rFont val="Calibri"/>
        <family val="2"/>
        <scheme val="minor"/>
      </rPr>
      <t>Insira os dados nas caixas amarelas abaixo. Seleccione a sua resposta no menu suspenso quando instruído para "seleccionar a partir do menu suspenso". Todas as caixas amarelas devem ser preenchidas, excepto quando especificado o contrário. As entradas sugeridas são fornecidas quando possível; no entanto, estas entradas destinam-se apenas a uma orientação ampla e não devem substituir as entradas específicas do utilizador.</t>
    </r>
  </si>
  <si>
    <r>
      <t>Instruções:</t>
    </r>
    <r>
      <rPr>
        <sz val="11"/>
        <rFont val="Calibri"/>
        <family val="2"/>
        <scheme val="minor"/>
      </rPr>
      <t xml:space="preserve"> Insira os dados nas caixas amarelas abaixo. Seleccione a sua resposta no menu suspenso quando instruído para "seleccionar a partir do menu suspenso". Todas as caixas amarelas devem ser preenchidas, excepto quando especificado o contrário. As entradas sugeridas são fornecidas quando possível; no entanto, estas entradas destinam-se apenas a uma orientação ampla e não devem substituir as entradas específicas do utilizador.</t>
    </r>
  </si>
  <si>
    <r>
      <rPr>
        <u/>
        <sz val="11"/>
        <color theme="10"/>
        <rFont val="Calibri"/>
        <family val="2"/>
      </rPr>
      <t>Â</t>
    </r>
    <r>
      <rPr>
        <u/>
        <sz val="11"/>
        <color theme="10"/>
        <rFont val="Calibri"/>
        <family val="2"/>
        <scheme val="minor"/>
      </rPr>
      <t>mbito de Implementa</t>
    </r>
    <r>
      <rPr>
        <u/>
        <sz val="11"/>
        <color theme="10"/>
        <rFont val="Calibri"/>
        <family val="2"/>
      </rPr>
      <t>çã</t>
    </r>
    <r>
      <rPr>
        <u/>
        <sz val="11"/>
        <color theme="10"/>
        <rFont val="Calibri"/>
        <family val="2"/>
        <scheme val="minor"/>
      </rPr>
      <t>o</t>
    </r>
  </si>
  <si>
    <t xml:space="preserve">Qual é o modelo de hospedagem do servidor para esta implementação? (Seleccione a partir do menu suspenso) </t>
  </si>
  <si>
    <t>Os custos de hospedagem do servidor são partilhados ou cobertos por outras implementações ou programas de sistemas de saúde digitais? (Seleccione Sim ou Não no menu suspenso)</t>
  </si>
  <si>
    <r>
      <t>Quem é o utilizador prim</t>
    </r>
    <r>
      <rPr>
        <sz val="11"/>
        <rFont val="Calibri"/>
        <family val="2"/>
      </rPr>
      <t>á</t>
    </r>
    <r>
      <rPr>
        <sz val="11"/>
        <rFont val="Calibri"/>
        <family val="2"/>
        <scheme val="minor"/>
      </rPr>
      <t>rio da solução de implementação da saúde digital? (seleccione a partir do menu suspenso)</t>
    </r>
  </si>
  <si>
    <t>O modelo de hospedagem do servidor é a infra-estrutura onde reside o software central do sistema. Esta ferramenta TCO assume que a implementação será hospedada num servidor local (nas instalações do utilizador), num centro de dados ou num serviço de nuvem de terceiros (como o Amazon Web Services) com estabilidade, segurança e infra-estrutura adequadas</t>
  </si>
  <si>
    <t>Se for auto-hospedagem, considere os seguintes custos: 1) Custo do servidor, 2) Engenheiro de operações de desenvolvimento de tempo inteiro a 0,5 FTE/servidor, 3) Infra-estrutura de auditoria da privacidade, 4) Segurança activa e deteçcão de intrusão, 5) Internet de alta velocidade, 6) Instalação").</t>
  </si>
  <si>
    <r>
      <t>A implementação da solução está planeada para ser escalonada por utilizador final (número de instala</t>
    </r>
    <r>
      <rPr>
        <sz val="11"/>
        <rFont val="Calibri"/>
        <family val="2"/>
      </rPr>
      <t>çõ</t>
    </r>
    <r>
      <rPr>
        <sz val="11"/>
        <rFont val="Calibri"/>
        <family val="2"/>
        <scheme val="minor"/>
      </rPr>
      <t>es, profissionais de saúde ou clientes)? (Insira "Sim" ou "Não")"</t>
    </r>
  </si>
  <si>
    <t>Calculado através da multiplicação da taxa diária pelo nível de esforço necessário.</t>
  </si>
  <si>
    <r>
      <t>Custo total de m</t>
    </r>
    <r>
      <rPr>
        <b/>
        <sz val="11"/>
        <rFont val="Calibri"/>
        <family val="2"/>
      </rPr>
      <t>ã</t>
    </r>
    <r>
      <rPr>
        <b/>
        <sz val="11"/>
        <rFont val="Calibri"/>
        <family val="2"/>
        <scheme val="minor"/>
      </rPr>
      <t>o-de-obra par o desenvolvimento de Software</t>
    </r>
  </si>
  <si>
    <t>Custo total da mão-de-obra para a avaliação das necessidades e especificações dos requisitos para a implantação</t>
  </si>
  <si>
    <t>$170 - 340 USD por pessoa por dia</t>
  </si>
  <si>
    <r>
      <t>N</t>
    </r>
    <r>
      <rPr>
        <sz val="11"/>
        <color theme="1"/>
        <rFont val="Calibri"/>
        <family val="2"/>
      </rPr>
      <t>ú</t>
    </r>
    <r>
      <rPr>
        <sz val="11"/>
        <color theme="1"/>
        <rFont val="Calibri"/>
        <family val="2"/>
        <scheme val="minor"/>
      </rPr>
      <t>mero de Sess</t>
    </r>
    <r>
      <rPr>
        <sz val="11"/>
        <color theme="1"/>
        <rFont val="Calibri"/>
        <family val="2"/>
      </rPr>
      <t>õ</t>
    </r>
    <r>
      <rPr>
        <sz val="11"/>
        <color theme="1"/>
        <rFont val="Calibri"/>
        <family val="2"/>
        <scheme val="minor"/>
      </rPr>
      <t>es</t>
    </r>
  </si>
  <si>
    <r>
      <t>Formadores: [(subs</t>
    </r>
    <r>
      <rPr>
        <sz val="11"/>
        <color theme="1"/>
        <rFont val="Calibri"/>
        <family val="2"/>
      </rPr>
      <t>í</t>
    </r>
    <r>
      <rPr>
        <sz val="11"/>
        <color theme="1"/>
        <rFont val="Calibri"/>
        <family val="2"/>
        <scheme val="minor"/>
      </rPr>
      <t>dios + taxa di</t>
    </r>
    <r>
      <rPr>
        <sz val="11"/>
        <color theme="1"/>
        <rFont val="Calibri"/>
        <family val="2"/>
      </rPr>
      <t>á</t>
    </r>
    <r>
      <rPr>
        <sz val="11"/>
        <color theme="1"/>
        <rFont val="Calibri"/>
        <family val="2"/>
        <scheme val="minor"/>
      </rPr>
      <t>ria) * N</t>
    </r>
    <r>
      <rPr>
        <sz val="11"/>
        <color theme="1"/>
        <rFont val="Calibri"/>
        <family val="2"/>
      </rPr>
      <t>º de Formadores</t>
    </r>
    <r>
      <rPr>
        <sz val="11"/>
        <color theme="1"/>
        <rFont val="Calibri"/>
        <family val="2"/>
        <scheme val="minor"/>
      </rPr>
      <t xml:space="preserve"> * N</t>
    </r>
    <r>
      <rPr>
        <sz val="11"/>
        <color theme="1"/>
        <rFont val="Calibri"/>
        <family val="2"/>
      </rPr>
      <t>º</t>
    </r>
    <r>
      <rPr>
        <sz val="11"/>
        <color theme="1"/>
        <rFont val="Calibri"/>
        <family val="2"/>
        <scheme val="minor"/>
      </rPr>
      <t xml:space="preserve"> de dias de Forma</t>
    </r>
    <r>
      <rPr>
        <sz val="11"/>
        <color theme="1"/>
        <rFont val="Calibri"/>
        <family val="2"/>
      </rPr>
      <t>çã</t>
    </r>
    <r>
      <rPr>
        <sz val="11"/>
        <color theme="1"/>
        <rFont val="Calibri"/>
        <family val="2"/>
        <scheme val="minor"/>
      </rPr>
      <t>o] * N</t>
    </r>
    <r>
      <rPr>
        <sz val="11"/>
        <color theme="1"/>
        <rFont val="Calibri"/>
        <family val="2"/>
      </rPr>
      <t>º</t>
    </r>
    <r>
      <rPr>
        <sz val="11"/>
        <color theme="1"/>
        <rFont val="Calibri"/>
        <family val="2"/>
        <scheme val="minor"/>
      </rPr>
      <t xml:space="preserve"> de Sess</t>
    </r>
    <r>
      <rPr>
        <sz val="11"/>
        <color theme="1"/>
        <rFont val="Calibri"/>
        <family val="2"/>
      </rPr>
      <t>õ</t>
    </r>
    <r>
      <rPr>
        <sz val="11"/>
        <color theme="1"/>
        <rFont val="Calibri"/>
        <family val="2"/>
        <scheme val="minor"/>
      </rPr>
      <t>es</t>
    </r>
  </si>
  <si>
    <t>Custos de formação de utilizadores no Ano 1 + custos de desenvolvimento</t>
  </si>
  <si>
    <t>Custos de formação de utilizadores no Ano 1 (excluindo o custo de desenvolvimento de materiais de formação ou custos de TOT)</t>
  </si>
  <si>
    <t>Número de Sessões</t>
  </si>
  <si>
    <r>
      <t>Formandos: (subs</t>
    </r>
    <r>
      <rPr>
        <sz val="11"/>
        <color theme="1"/>
        <rFont val="Calibri"/>
        <family val="2"/>
      </rPr>
      <t>í</t>
    </r>
    <r>
      <rPr>
        <sz val="11"/>
        <color theme="1"/>
        <rFont val="Calibri"/>
        <family val="2"/>
        <scheme val="minor"/>
      </rPr>
      <t>dio * N</t>
    </r>
    <r>
      <rPr>
        <sz val="11"/>
        <color theme="1"/>
        <rFont val="Calibri"/>
        <family val="2"/>
      </rPr>
      <t>º de Formandos)</t>
    </r>
    <r>
      <rPr>
        <sz val="11"/>
        <color theme="1"/>
        <rFont val="Calibri"/>
        <family val="2"/>
        <scheme val="minor"/>
      </rPr>
      <t xml:space="preserve"> * N</t>
    </r>
    <r>
      <rPr>
        <sz val="11"/>
        <color theme="1"/>
        <rFont val="Calibri"/>
        <family val="2"/>
      </rPr>
      <t>º</t>
    </r>
    <r>
      <rPr>
        <sz val="11"/>
        <color theme="1"/>
        <rFont val="Calibri"/>
        <family val="2"/>
        <scheme val="minor"/>
      </rPr>
      <t xml:space="preserve"> de dias de forma</t>
    </r>
    <r>
      <rPr>
        <sz val="11"/>
        <color theme="1"/>
        <rFont val="Calibri"/>
        <family val="2"/>
      </rPr>
      <t>çã</t>
    </r>
    <r>
      <rPr>
        <sz val="11"/>
        <color theme="1"/>
        <rFont val="Calibri"/>
        <family val="2"/>
        <scheme val="minor"/>
      </rPr>
      <t>o</t>
    </r>
  </si>
  <si>
    <r>
      <t>Outros custos de forma</t>
    </r>
    <r>
      <rPr>
        <sz val="11"/>
        <color theme="1"/>
        <rFont val="Calibri"/>
        <family val="2"/>
      </rPr>
      <t>çã</t>
    </r>
    <r>
      <rPr>
        <sz val="11"/>
        <color theme="1"/>
        <rFont val="Calibri"/>
        <family val="2"/>
        <scheme val="minor"/>
      </rPr>
      <t>o: (custos de forma</t>
    </r>
    <r>
      <rPr>
        <sz val="11"/>
        <color theme="1"/>
        <rFont val="Calibri"/>
        <family val="2"/>
      </rPr>
      <t>çã</t>
    </r>
    <r>
      <rPr>
        <sz val="11"/>
        <color theme="1"/>
        <rFont val="Calibri"/>
        <family val="2"/>
        <scheme val="minor"/>
      </rPr>
      <t>o por dia * N</t>
    </r>
    <r>
      <rPr>
        <sz val="11"/>
        <color theme="1"/>
        <rFont val="Calibri"/>
        <family val="2"/>
      </rPr>
      <t>º</t>
    </r>
    <r>
      <rPr>
        <sz val="11"/>
        <color theme="1"/>
        <rFont val="Calibri"/>
        <family val="2"/>
        <scheme val="minor"/>
      </rPr>
      <t xml:space="preserve"> de dias de Forma</t>
    </r>
    <r>
      <rPr>
        <sz val="11"/>
        <color theme="1"/>
        <rFont val="Calibri"/>
        <family val="2"/>
      </rPr>
      <t>çã</t>
    </r>
    <r>
      <rPr>
        <sz val="11"/>
        <color theme="1"/>
        <rFont val="Calibri"/>
        <family val="2"/>
        <scheme val="minor"/>
      </rPr>
      <t>o) * Nº de Sessões</t>
    </r>
  </si>
  <si>
    <t>Formandos: (subsídio * Nº de Formandos) * Nº de dias de formação</t>
  </si>
  <si>
    <t>Formadores: [(subsídios + taxa diária) * Nº de Formadores * Nº de dias de Formação] * Nº de Sessões</t>
  </si>
  <si>
    <t>Outros custos de formação: (custos de formação por dia * Nº de dias de Formação) * Nº de Sessões</t>
  </si>
  <si>
    <t>Custos de formação de utilizadores no Ano 2 (excluindo o custo de desenvolvimento de materiais de formação ou custos de TOT)</t>
  </si>
  <si>
    <t>Custos de formação de utilizadores no Ano 3 (excluindo o custo de desenvolvimento de materiais de formação ou custos de TOT)</t>
  </si>
  <si>
    <t>Custos de formação de utilizadores no Ano 2 + custos de desenvolvimento</t>
  </si>
  <si>
    <t>Custos de formação de utilizadores no Ano 3 + custos de desenvolvimento</t>
  </si>
  <si>
    <t>Custos de formação de utilizadores no Ano 4 (excluindo o custo de desenvolvimento de materiais de formação ou custos de TOT)</t>
  </si>
  <si>
    <t>Custos de formação de utilizadores no Ano 4 + custos de desenvolvimento</t>
  </si>
  <si>
    <t>Custos de formação de utilizadores no Ano 5 (excluindo o custo de desenvolvimento de materiais de formação ou custos de TOT)</t>
  </si>
  <si>
    <t>Custos de formação de utilizadores no Ano 5 + custos de desenvolvimento</t>
  </si>
  <si>
    <t>Custos com Formandos: (subsídio * Nº de Formandos) * Nº de dias de formação</t>
  </si>
  <si>
    <t>Custos com Formadores: [(subsídio + taxa diária) * Nº de Formadores * Nº de dias de Formação] * Nº de Sessões</t>
  </si>
  <si>
    <r>
      <rPr>
        <b/>
        <sz val="11"/>
        <rFont val="Calibri"/>
        <family val="2"/>
        <scheme val="minor"/>
      </rPr>
      <t>Fase III: Opera</t>
    </r>
    <r>
      <rPr>
        <b/>
        <sz val="11"/>
        <rFont val="Calibri"/>
        <family val="2"/>
      </rPr>
      <t>çõ</t>
    </r>
    <r>
      <rPr>
        <b/>
        <sz val="9.35"/>
        <rFont val="Calibri"/>
        <family val="2"/>
      </rPr>
      <t>es</t>
    </r>
  </si>
  <si>
    <t>Custos de formação de reciclagem de utilizadores no Ano 1 (excluindo o custo de desenvolvimento de materiais de formação)</t>
  </si>
  <si>
    <t>Desenvolvimento de formação de reciclagem no Ano 1 + custos de entrega</t>
  </si>
  <si>
    <t xml:space="preserve">Ano 4 </t>
  </si>
  <si>
    <t>Custos de formação de reciclagem de utilizadores no Ano 2 (excluindo o custo de desenvolvimento de materiais de formação)</t>
  </si>
  <si>
    <t>Custos de formação de reciclagem de utilizadores no Ano 3 (excluindo o custo de desenvolvimento de materiais de formação)</t>
  </si>
  <si>
    <t>Custos de formação de reciclagem de utilizadores no Ano 4 (excluindo o custo de desenvolvimento de materiais de formação)</t>
  </si>
  <si>
    <t>Custos de formação de reciclagem de utilizadores no Ano 5 (excluindo o custo de desenvolvimento de materiais de formação)</t>
  </si>
  <si>
    <t>Desenvolvimento de formação de reciclagem no Ano 2 + custos de entrega</t>
  </si>
  <si>
    <t>Desenvolvimento de formação de reciclagem no Ano 3 + custos de entrega</t>
  </si>
  <si>
    <t>Desenvolvimento de formação de reciclagem no Ano 4 + custos de entrega</t>
  </si>
  <si>
    <t>Desenvolvimento de formação de reciclagem no Ano 5 + custos de entrega</t>
  </si>
  <si>
    <t>Total de Custos de Arranque (Capital)</t>
  </si>
  <si>
    <t>Total de Custos Recorrentes (Operações)</t>
  </si>
  <si>
    <r>
      <t>Gest</t>
    </r>
    <r>
      <rPr>
        <sz val="11"/>
        <color theme="1"/>
        <rFont val="Calibri"/>
        <family val="2"/>
      </rPr>
      <t>ã</t>
    </r>
    <r>
      <rPr>
        <sz val="11"/>
        <color theme="1"/>
        <rFont val="Calibri"/>
        <family val="2"/>
        <scheme val="minor"/>
      </rPr>
      <t>o de Projecto</t>
    </r>
  </si>
  <si>
    <r>
      <t>Actividades de gestão do projecto para definição de âmbito, planifica</t>
    </r>
    <r>
      <rPr>
        <sz val="11"/>
        <color theme="1"/>
        <rFont val="Calibri"/>
        <family val="2"/>
      </rPr>
      <t>çã</t>
    </r>
    <r>
      <rPr>
        <sz val="11"/>
        <color theme="1"/>
        <rFont val="Calibri"/>
        <family val="2"/>
        <scheme val="minor"/>
      </rPr>
      <t>o, aprovação final, aquisições e gestão de mudanças. Colaboração com stakeholders para definir a visão e estratégia globais. Criar um plano de trabalho e cronograma detalhados para o projecto. Finalizar o orçamento e obter a aprovação dos stakeholders.  Contratação, incluindo a identificação de requisitos, criação de Pedidos de Propostas (RFP), avaliação de RFP e negociação do contrato com os implementadores de software e fornecedores de hardware. Identificar o processo de neg</t>
    </r>
    <r>
      <rPr>
        <sz val="11"/>
        <color theme="1"/>
        <rFont val="Calibri"/>
        <family val="2"/>
      </rPr>
      <t>ó</t>
    </r>
    <r>
      <rPr>
        <sz val="11"/>
        <color theme="1"/>
        <rFont val="Calibri"/>
        <family val="2"/>
        <scheme val="minor"/>
      </rPr>
      <t>cio esperado e mudanças de pessoal como resultado da implementação.</t>
    </r>
  </si>
  <si>
    <r>
      <t>Não aplic</t>
    </r>
    <r>
      <rPr>
        <sz val="11"/>
        <color theme="1"/>
        <rFont val="Calibri"/>
        <family val="2"/>
      </rPr>
      <t>á</t>
    </r>
    <r>
      <rPr>
        <sz val="11"/>
        <color theme="1"/>
        <rFont val="Calibri"/>
        <family val="2"/>
        <scheme val="minor"/>
      </rPr>
      <t>vel</t>
    </r>
  </si>
  <si>
    <t>Avaliação das necessidades e especificações dos requisitos</t>
  </si>
  <si>
    <r>
      <t>Avaliar o actual estado e permitir o ambiente regulamentar. Avaliar os requisitos de integração, migração e presta</t>
    </r>
    <r>
      <rPr>
        <sz val="11"/>
        <color theme="1"/>
        <rFont val="Calibri"/>
        <family val="2"/>
      </rPr>
      <t>çã</t>
    </r>
    <r>
      <rPr>
        <sz val="11"/>
        <color theme="1"/>
        <rFont val="Calibri"/>
        <family val="2"/>
        <scheme val="minor"/>
      </rPr>
      <t>o de contas. Realizar análises de processos de neg</t>
    </r>
    <r>
      <rPr>
        <sz val="11"/>
        <color theme="1"/>
        <rFont val="Calibri"/>
        <family val="2"/>
      </rPr>
      <t>ó</t>
    </r>
    <r>
      <rPr>
        <sz val="11"/>
        <color theme="1"/>
        <rFont val="Calibri"/>
        <family val="2"/>
        <scheme val="minor"/>
      </rPr>
      <t>cio, modelação de dados, avaliação de sítios e servidores. Documentar o landscaping, avaliação das necessidades e especificações dos requisitos.</t>
    </r>
  </si>
  <si>
    <t>Não aplicável</t>
  </si>
  <si>
    <r>
      <t>Os custos de desenvolvimento devem ser inferiores a 20% da TCO. Rever a inser</t>
    </r>
    <r>
      <rPr>
        <sz val="11"/>
        <color theme="1"/>
        <rFont val="Calibri"/>
        <family val="2"/>
      </rPr>
      <t>çã</t>
    </r>
    <r>
      <rPr>
        <sz val="11"/>
        <color theme="1"/>
        <rFont val="Calibri"/>
        <family val="2"/>
        <scheme val="minor"/>
      </rPr>
      <t>o de custos e as informações de origem sugeridas no separador Input para garantir input correcto.</t>
    </r>
  </si>
  <si>
    <r>
      <t>O custo deve situar-se entre 1% e 15% dos custos de Implanta</t>
    </r>
    <r>
      <rPr>
        <sz val="11"/>
        <color theme="1"/>
        <rFont val="Calibri"/>
        <family val="2"/>
      </rPr>
      <t>çã</t>
    </r>
    <r>
      <rPr>
        <sz val="11"/>
        <color theme="1"/>
        <rFont val="Calibri"/>
        <family val="2"/>
        <scheme val="minor"/>
      </rPr>
      <t>o. Rever a inserção de custos e as informações de origem sugeridas no separador Input para garantir input correcto.</t>
    </r>
  </si>
  <si>
    <t>O custo deve situar-se entre 1% e 5% dos custos de Implantação. Rever a inserção de custos e as informações de origem sugeridas no separador Input para garantir input correcto.</t>
  </si>
  <si>
    <r>
      <t>O custo deve situar-se entre 20% e 40% dos custos de Desenvolvimento. Rever a inser</t>
    </r>
    <r>
      <rPr>
        <sz val="11"/>
        <color theme="1"/>
        <rFont val="Calibri"/>
        <family val="2"/>
      </rPr>
      <t>çã</t>
    </r>
    <r>
      <rPr>
        <sz val="11"/>
        <color theme="1"/>
        <rFont val="Calibri"/>
        <family val="2"/>
        <scheme val="minor"/>
      </rPr>
      <t>o de custos e as informações de origem sugeridas no separador Input para garantir input correcto.</t>
    </r>
  </si>
  <si>
    <t>O custo deve situar-se entre 2% e 10% dos custos de Desenvolvimento. Rever a inserção de custos e as informações de origem sugeridas no separador Input para garantir input correcto.</t>
  </si>
  <si>
    <t>O custo deve ser superir a 60% dos custos de Desenvolvimento. Rever a inserção de custos e as informações de origem sugeridas no separador Input para garantir input correcto.</t>
  </si>
  <si>
    <t>Desenvolvimento de software e adaptação do software central para responder às necessidades do projecto a nível nacional ou a funcionalidades que possam não ser suportadas ainda.  A personalização pode ser necessária para permitir a integração ou interoperabilidade com outros sistemas informáticos de saúde a nível nacional.  Esta personalização pode ser feita pela plataforma de bens globais primários, pelo fornecedor da implementação ou pela equipa do projecto. A Localização pode ser necessária num local específico, nomeadamente adaptações linguísticas ou terminologia especializada.</t>
  </si>
  <si>
    <r>
      <t>Servi</t>
    </r>
    <r>
      <rPr>
        <sz val="11"/>
        <color theme="1"/>
        <rFont val="Calibri"/>
        <family val="2"/>
      </rPr>
      <t>ç</t>
    </r>
    <r>
      <rPr>
        <sz val="11"/>
        <color theme="1"/>
        <rFont val="Calibri"/>
        <family val="2"/>
        <scheme val="minor"/>
      </rPr>
      <t>os de Implementa</t>
    </r>
    <r>
      <rPr>
        <sz val="11"/>
        <color theme="1"/>
        <rFont val="Calibri"/>
        <family val="2"/>
      </rPr>
      <t>çã</t>
    </r>
    <r>
      <rPr>
        <sz val="11"/>
        <color theme="1"/>
        <rFont val="Calibri"/>
        <family val="2"/>
        <scheme val="minor"/>
      </rPr>
      <t>o</t>
    </r>
  </si>
  <si>
    <t>Equipamento de capital centralizado, bem como equipamento distribuído. Os orçamentos de equipamento devem também ter em conta a redundância para falhas e recuperação em caso de desastres.</t>
  </si>
  <si>
    <t>Os custos de infraestrutura incluem electricidade, hospedagem do centro de dados e conetividade (por ex., acesso à Internet, custos de SMS, custos de gerador de back-up).</t>
  </si>
  <si>
    <t>Inclui a configuração inicial de definições e contas do utilizador, bem como a configuração de dados, como a migração de dados e configuração de esquemas e/ou tipos de dados personalizados.</t>
  </si>
  <si>
    <t>Trabalho necessário para estabelecer a comunicação e conformidade com as normas entre o sistema e sistemas existentes. Esta categoria abrange os trabalhos de configuração e de implementação. Se o software não for capaz de comunicar com o software existente, a adaptação é abrangida pela categoria de personalização de software.</t>
  </si>
  <si>
    <r>
      <t>Voc</t>
    </r>
    <r>
      <rPr>
        <sz val="11"/>
        <color theme="1"/>
        <rFont val="Calibri"/>
        <family val="2"/>
      </rPr>
      <t>ê</t>
    </r>
    <r>
      <rPr>
        <sz val="11"/>
        <color theme="1"/>
        <rFont val="Calibri"/>
        <family val="2"/>
        <scheme val="minor"/>
      </rPr>
      <t xml:space="preserve"> indicou que a implementação não requer o cálculo do custo do Serviço de Implementação durante a Implantação.</t>
    </r>
  </si>
  <si>
    <r>
      <t>Você indicou que a implementação não requer o cálculo do custo de Integra</t>
    </r>
    <r>
      <rPr>
        <sz val="11"/>
        <color theme="1"/>
        <rFont val="Calibri"/>
        <family val="2"/>
      </rPr>
      <t>çã</t>
    </r>
    <r>
      <rPr>
        <sz val="11"/>
        <color theme="1"/>
        <rFont val="Calibri"/>
        <family val="2"/>
        <scheme val="minor"/>
      </rPr>
      <t>o e Interoperabilidade durante a Implantação.</t>
    </r>
  </si>
  <si>
    <t>Os custos de desenvolvimento para grandes modificações ou expansão do âmbito incluem custos de desenvolvimento de software após a implantação inicial e a expansão contínua do produto.</t>
  </si>
  <si>
    <r>
      <t>Voc</t>
    </r>
    <r>
      <rPr>
        <sz val="11"/>
        <color theme="1"/>
        <rFont val="Calibri"/>
        <family val="2"/>
      </rPr>
      <t xml:space="preserve">ê </t>
    </r>
    <r>
      <rPr>
        <sz val="11"/>
        <color theme="1"/>
        <rFont val="Calibri"/>
        <family val="2"/>
        <scheme val="minor"/>
      </rPr>
      <t>indicou que a Implementação não requer o cálculo do custo para o Desenvolvimento de Software durante a Implantação.</t>
    </r>
  </si>
  <si>
    <t>Você indicou que a Implementação não requer o cálculo do custo para o Desenvolvimento de Software durante a Implantação.</t>
  </si>
  <si>
    <t>Nota: Inclui o teste da funcionalidade e da estabilidade da implementação para preparar a escala. Pode incluir testes de experiência do utilizador final, testes de aceitação do utilizador final, testes de funcionalidade em ambientes reais e testes de carga (ou stress/volume). Os testes podem identificar e resolver problemas no início da entrega do software, o que reduz significativamente os custos de correção de problemas mais tarde na implementação.</t>
  </si>
  <si>
    <r>
      <t>Forma</t>
    </r>
    <r>
      <rPr>
        <sz val="11"/>
        <color theme="1"/>
        <rFont val="Calibri"/>
        <family val="2"/>
      </rPr>
      <t>çã</t>
    </r>
    <r>
      <rPr>
        <sz val="11"/>
        <color theme="1"/>
        <rFont val="Calibri"/>
        <family val="2"/>
        <scheme val="minor"/>
      </rPr>
      <t>o sobre Nova Implanta</t>
    </r>
    <r>
      <rPr>
        <sz val="11"/>
        <color theme="1"/>
        <rFont val="Calibri"/>
        <family val="2"/>
      </rPr>
      <t>çã</t>
    </r>
    <r>
      <rPr>
        <sz val="11"/>
        <color theme="1"/>
        <rFont val="Calibri"/>
        <family val="2"/>
        <scheme val="minor"/>
      </rPr>
      <t>o</t>
    </r>
  </si>
  <si>
    <t>Custos associados ao desenvolvimento de um quadro de formação, de um Procedimento Operacional Padronizado (SOP), de um curriculum e material de formação, de uma plataforma de eLearning e de um programa de formação de formadores para todas as unidades que ainda necessitam de formação.</t>
  </si>
  <si>
    <r>
      <t>Voc</t>
    </r>
    <r>
      <rPr>
        <sz val="11"/>
        <color theme="1"/>
        <rFont val="Calibri"/>
        <family val="2"/>
      </rPr>
      <t>ê</t>
    </r>
    <r>
      <rPr>
        <sz val="11"/>
        <color theme="1"/>
        <rFont val="Calibri"/>
        <family val="2"/>
        <scheme val="minor"/>
      </rPr>
      <t xml:space="preserve"> indicou que a implementação não inclui custos de Formação para a Nova Implantação. Por favor, reveja a Descrição para garantir que não seja necessário nenhum orçamento para esta actividade. Volte ao separador Input se pretende rever a sua selecção.</t>
    </r>
  </si>
  <si>
    <t>Volte ao separador Input para inserir os custos de Implantação.</t>
  </si>
  <si>
    <r>
      <t>Substitui</t>
    </r>
    <r>
      <rPr>
        <sz val="11"/>
        <color theme="1"/>
        <rFont val="Calibri"/>
        <family val="2"/>
      </rPr>
      <t>çã</t>
    </r>
    <r>
      <rPr>
        <sz val="11"/>
        <color theme="1"/>
        <rFont val="Calibri"/>
        <family val="2"/>
        <scheme val="minor"/>
      </rPr>
      <t>o de Equipamento</t>
    </r>
  </si>
  <si>
    <t>O equipamento informático é geralmente substituído quando se torna obsoleto. Este custo pode ser estimado para a maioria dos equipamentos com base na vida útil prevista.</t>
  </si>
  <si>
    <t>Você indicou que a implementação não inclui custos de Substituição de Equipamento. Por favor, reveja a Descrição para garantir que não seja necessário nenhum orçamento para esta actividade. Volte ao separador Input se pretende rever a sua selecção.</t>
  </si>
  <si>
    <t>Substituição da Infra-Estrutura</t>
  </si>
  <si>
    <t>Os custos de infra-estrutura incluem electricidade, hospedagem do centro de dados e conetividade (por ex., acesso à Internet, custos de SMS, custos de gerador de back-up, etc).</t>
  </si>
  <si>
    <t>Você indicou que a implementação não inclui custos de Substituição da Infra-Estrutura. Por favor, reveja a Descrição para garantir que não seja necessário nenhum orçamento para esta actividade. Volte ao separador Input se pretende rever a sua selecção.</t>
  </si>
  <si>
    <r>
      <t>Licenciamento de Software e Subscri</t>
    </r>
    <r>
      <rPr>
        <sz val="11"/>
        <color theme="1"/>
        <rFont val="Calibri"/>
        <family val="2"/>
      </rPr>
      <t>çõ</t>
    </r>
    <r>
      <rPr>
        <sz val="11"/>
        <color theme="1"/>
        <rFont val="Calibri"/>
        <family val="2"/>
        <scheme val="minor"/>
      </rPr>
      <t>es</t>
    </r>
  </si>
  <si>
    <t>Inclui custos recorrentes de licenciamento de software. Se o sistema for um bem global, os custos são tipicamente de código aberto com taxas de licenciamento zero, mas o software de suporte (por ex., bases de dados, sistemas operativos) pode exigir taxas de licenciamento.</t>
  </si>
  <si>
    <t>Você indicou que a implementação não inclui custos de Licenciamento e Subscrições. Por favor, reveja a Descrição para garantir que não seja necessário nenhum orçamento para esta actividade. Volte ao separador Input se pretende rever a sua selecção.</t>
  </si>
  <si>
    <t>Você indicou que a implementação não inclui custos de Dados e Voz. Por favor, reveja a Descrição para garantir que não seja necessário nenhum orçamento para esta actividade. Volte ao separador Input se pretende rever a sua selecção.</t>
  </si>
  <si>
    <r>
      <t>Taxas recorrentes de servi</t>
    </r>
    <r>
      <rPr>
        <sz val="11"/>
        <color theme="1"/>
        <rFont val="Calibri"/>
        <family val="2"/>
      </rPr>
      <t>ç</t>
    </r>
    <r>
      <rPr>
        <sz val="11"/>
        <color theme="1"/>
        <rFont val="Calibri"/>
        <family val="2"/>
        <scheme val="minor"/>
      </rPr>
      <t>os de dados e voz</t>
    </r>
  </si>
  <si>
    <t>Formação Recorrente</t>
  </si>
  <si>
    <t>Inclui todos os elementos para ministrar formação de reciclagem e formação de rotatividade do pessoal em intervalos definidos. As principais actividades incluem o tempo do formador, sessões de formação de formadores, materiais de formação e quaisquer deslocações necessárias.</t>
  </si>
  <si>
    <t>Você indicou que a implementação não inclui custos de Formação Recorrente. Por favor, reveja a Descrição para garantir que não seja necessário nenhum orçamento para esta actividade. Volte ao separador Input se pretende rever a sua selecção.</t>
  </si>
  <si>
    <r>
      <t>Custos associados com a mão-de-obra para operar o sistema; inclui administradores de sistemas, administradores de bases de dados (DBAs), analistas de negócios, bem como uma equipa de apoio que fornece assist</t>
    </r>
    <r>
      <rPr>
        <sz val="11"/>
        <color theme="1"/>
        <rFont val="Calibri"/>
        <family val="2"/>
      </rPr>
      <t>ê</t>
    </r>
    <r>
      <rPr>
        <sz val="11"/>
        <color theme="1"/>
        <rFont val="Calibri"/>
        <family val="2"/>
        <scheme val="minor"/>
      </rPr>
      <t>ncia contínua ao utilizador final.</t>
    </r>
  </si>
  <si>
    <r>
      <t>Manuten</t>
    </r>
    <r>
      <rPr>
        <sz val="11"/>
        <color theme="1"/>
        <rFont val="Calibri"/>
        <family val="2"/>
      </rPr>
      <t>çã</t>
    </r>
    <r>
      <rPr>
        <sz val="11"/>
        <color theme="1"/>
        <rFont val="Calibri"/>
        <family val="2"/>
        <scheme val="minor"/>
      </rPr>
      <t>o</t>
    </r>
  </si>
  <si>
    <t>Custos associados com a manutenção do sistema informático (por ex., correccoes, interrupcoes, programadas + não programadas). SLAs finais e contrato(s) de manutenção.</t>
  </si>
  <si>
    <r>
      <t>Você indicou que a implementação não inclui custos de Manuten</t>
    </r>
    <r>
      <rPr>
        <sz val="11"/>
        <color theme="1"/>
        <rFont val="Calibri"/>
        <family val="2"/>
      </rPr>
      <t>çã</t>
    </r>
    <r>
      <rPr>
        <sz val="11"/>
        <color theme="1"/>
        <rFont val="Calibri"/>
        <family val="2"/>
        <scheme val="minor"/>
      </rPr>
      <t>o. Por favor, reveja a Descrição para garantir que não seja necessário nenhum orçamento para esta actividade. Volte ao separador Input se pretende rever a sua selecção.</t>
    </r>
  </si>
  <si>
    <t>Abrange os testes que podem ser realizados como actividades discretas programadas para o ambiente do sistema central, incluindo testes de carga, segurança, recuperação em caso de desastres e redundância. Os testes efectuados como um passo de rotina no desenvolvimento e manutenção regulares de software, incluindo testes de unidade, integração, QA, UAT e testes de fumos, estão incluídos nas subcategorias de desenvolvimento e manutenção de software.</t>
  </si>
  <si>
    <t>Você indicou que a implementação não inclui custos de Testes. Por favor, reveja a Descrição para garantir que não seja necessário nenhum orçamento para esta actividade. Volte ao separador Input se pretende rever a sua selecção.</t>
  </si>
  <si>
    <r>
      <t>Transfer</t>
    </r>
    <r>
      <rPr>
        <sz val="11"/>
        <color theme="1"/>
        <rFont val="Calibri"/>
        <family val="2"/>
      </rPr>
      <t>ê</t>
    </r>
    <r>
      <rPr>
        <sz val="11"/>
        <color theme="1"/>
        <rFont val="Calibri"/>
        <family val="2"/>
        <scheme val="minor"/>
      </rPr>
      <t>ncia de Propriedade</t>
    </r>
  </si>
  <si>
    <t>Custos associados com a transferência de propriedade do(s) fornecedor(es) da implementação para o governo.</t>
  </si>
  <si>
    <r>
      <t>Gest</t>
    </r>
    <r>
      <rPr>
        <sz val="11"/>
        <color theme="1"/>
        <rFont val="Calibri"/>
        <family val="2"/>
      </rPr>
      <t>ã</t>
    </r>
    <r>
      <rPr>
        <sz val="11"/>
        <color theme="1"/>
        <rFont val="Calibri"/>
        <family val="2"/>
        <scheme val="minor"/>
      </rPr>
      <t>o do Projecto</t>
    </r>
  </si>
  <si>
    <t>Custos associados com gestão do projeto, normalmente os custos da função de gestor do projecto.</t>
  </si>
  <si>
    <t>Você indicou que a implementação não inclui custos de Transferência de Propriedade. Por favor, reveja a Descrição para garantir que não seja necessário nenhum orçamento para esta actividade. Volte ao separador Input se pretende rever a sua selecção.</t>
  </si>
  <si>
    <r>
      <t>Você indicou que a implementação não inclui custos da Gestão cont</t>
    </r>
    <r>
      <rPr>
        <sz val="11"/>
        <color theme="1"/>
        <rFont val="Calibri"/>
        <family val="2"/>
      </rPr>
      <t>í</t>
    </r>
    <r>
      <rPr>
        <sz val="11"/>
        <color theme="1"/>
        <rFont val="Calibri"/>
        <family val="2"/>
        <scheme val="minor"/>
      </rPr>
      <t>nua do Projecto. Por favor, reveja a Descrição para garantir que não seja necessário nenhum orçamento para esta actividade. Volte ao separador Input se pretende rever a sua selecção.</t>
    </r>
  </si>
  <si>
    <t>Volte ao separador Input para inserir os custos de Operações.</t>
  </si>
  <si>
    <r>
      <t>Transporte e Comunica</t>
    </r>
    <r>
      <rPr>
        <sz val="11"/>
        <color theme="1"/>
        <rFont val="Calibri"/>
        <family val="2"/>
      </rPr>
      <t>çã</t>
    </r>
    <r>
      <rPr>
        <sz val="11"/>
        <color theme="1"/>
        <rFont val="Calibri"/>
        <family val="2"/>
        <scheme val="minor"/>
      </rPr>
      <t xml:space="preserve">o </t>
    </r>
  </si>
  <si>
    <t>Custos associados com o transporte ad hoc e de rotina e com as comunicações entre o pessoal principal para a gestão e execução do projecto.</t>
  </si>
  <si>
    <t>Você indicou que a implementação não inclui custos de Transporte e Comunicação. Por favor, reveja a Descrição para garantir que não seja necessário nenhum orçamento para esta actividade. Volte ao separador Input se pretende rever a sua selecção.</t>
  </si>
  <si>
    <r>
      <t>Governa</t>
    </r>
    <r>
      <rPr>
        <sz val="11"/>
        <color theme="1"/>
        <rFont val="Calibri"/>
        <family val="2"/>
      </rPr>
      <t>çã</t>
    </r>
    <r>
      <rPr>
        <sz val="11"/>
        <color theme="1"/>
        <rFont val="Calibri"/>
        <family val="2"/>
        <scheme val="minor"/>
      </rPr>
      <t>o</t>
    </r>
  </si>
  <si>
    <t>Custos de recursos ou de tempo associados com a governação geral da saúde digital no Ministério, incluindo o desenvolvimento de visões, directrizes nacionais, planos estratégicos e implementação.</t>
  </si>
  <si>
    <r>
      <t>Você indicou que a implementação não inclui custos de Governa</t>
    </r>
    <r>
      <rPr>
        <sz val="11"/>
        <color theme="1"/>
        <rFont val="Calibri"/>
        <family val="2"/>
      </rPr>
      <t>çã</t>
    </r>
    <r>
      <rPr>
        <sz val="11"/>
        <color theme="1"/>
        <rFont val="Calibri"/>
        <family val="2"/>
        <scheme val="minor"/>
      </rPr>
      <t>o. Por favor, reveja a Descrição para garantir que não seja necessário nenhum orçamento para esta actividade. Volte ao separador Input se pretende rever a sua selecção.</t>
    </r>
  </si>
  <si>
    <r>
      <t>Monitoria &amp; Avalia</t>
    </r>
    <r>
      <rPr>
        <sz val="11"/>
        <color theme="1"/>
        <rFont val="Calibri"/>
        <family val="2"/>
      </rPr>
      <t>çã</t>
    </r>
    <r>
      <rPr>
        <sz val="11"/>
        <color theme="1"/>
        <rFont val="Calibri"/>
        <family val="2"/>
        <scheme val="minor"/>
      </rPr>
      <t>o</t>
    </r>
  </si>
  <si>
    <r>
      <t>Custos associados com a monitoria e avaliação da eficácia e do impacto do programa.  Inclui a criação de um plano de prestação de contas, recolha de métricas, elaboração de relatórios e interac</t>
    </r>
    <r>
      <rPr>
        <sz val="11"/>
        <color theme="1"/>
        <rFont val="Calibri"/>
        <family val="2"/>
      </rPr>
      <t>çã</t>
    </r>
    <r>
      <rPr>
        <sz val="11"/>
        <color theme="1"/>
        <rFont val="Calibri"/>
        <family val="2"/>
        <scheme val="minor"/>
      </rPr>
      <t>o com doadores/financiadores.</t>
    </r>
  </si>
  <si>
    <t>Você indicou que a implementação não inclui custos de Monitoria &amp; Avaliação. Por favor, reveja a Descrição para garantir que não seja necessário nenhum orçamento para esta actividade. Volte ao separador Input se pretende rever a sua selecção.</t>
  </si>
  <si>
    <r>
      <t>Aquisi</t>
    </r>
    <r>
      <rPr>
        <sz val="11"/>
        <color theme="1"/>
        <rFont val="Calibri"/>
        <family val="2"/>
      </rPr>
      <t>çõ</t>
    </r>
    <r>
      <rPr>
        <sz val="11"/>
        <color theme="1"/>
        <rFont val="Calibri"/>
        <family val="2"/>
        <scheme val="minor"/>
      </rPr>
      <t>es</t>
    </r>
  </si>
  <si>
    <t>Custos associados com a contratação, incluindo a identificação de requisitos, criação de RFP, avaliação de RFP e negociação de contratos com os implementadores de software e fornecedores de hardware.</t>
  </si>
  <si>
    <r>
      <t>Você indicou que a implementação não inclui custos de Aquisi</t>
    </r>
    <r>
      <rPr>
        <sz val="11"/>
        <color theme="1"/>
        <rFont val="Calibri"/>
        <family val="2"/>
      </rPr>
      <t>çõ</t>
    </r>
    <r>
      <rPr>
        <sz val="11"/>
        <color theme="1"/>
        <rFont val="Calibri"/>
        <family val="2"/>
        <scheme val="minor"/>
      </rPr>
      <t>es. Por favor, reveja a Descrição para garantir que não seja necessário nenhum orçamento para esta actividade. Volte ao separador Input se pretende rever a sua selecção.</t>
    </r>
  </si>
  <si>
    <t>Implantação</t>
  </si>
  <si>
    <t>Serviço de Dados e Voz</t>
  </si>
  <si>
    <r>
      <t>Formação sobre Nova Implanta</t>
    </r>
    <r>
      <rPr>
        <sz val="11"/>
        <color theme="1"/>
        <rFont val="Calibri"/>
        <family val="2"/>
      </rPr>
      <t>çã</t>
    </r>
    <r>
      <rPr>
        <sz val="11"/>
        <color theme="1"/>
        <rFont val="Calibri"/>
        <family val="2"/>
        <scheme val="minor"/>
      </rPr>
      <t>o</t>
    </r>
  </si>
  <si>
    <r>
      <t>Assist</t>
    </r>
    <r>
      <rPr>
        <sz val="11"/>
        <color theme="1"/>
        <rFont val="Calibri"/>
        <family val="2"/>
      </rPr>
      <t>ê</t>
    </r>
    <r>
      <rPr>
        <sz val="11"/>
        <color theme="1"/>
        <rFont val="Calibri"/>
        <family val="2"/>
        <scheme val="minor"/>
      </rPr>
      <t>ncia do Helpdesk</t>
    </r>
  </si>
  <si>
    <r>
      <t>Você indicou que a implementação não inclui custos de Assist</t>
    </r>
    <r>
      <rPr>
        <sz val="11"/>
        <color theme="1"/>
        <rFont val="Calibri"/>
        <family val="2"/>
      </rPr>
      <t>ê</t>
    </r>
    <r>
      <rPr>
        <sz val="11"/>
        <color theme="1"/>
        <rFont val="Calibri"/>
        <family val="2"/>
        <scheme val="minor"/>
      </rPr>
      <t>ncia do Helpdesk. Por favor, reveja a Descrição para garantir que não seja necessário nenhum orçamento para esta actividade. Volte ao separador Input se pretende rever a sua selecção.</t>
    </r>
  </si>
  <si>
    <r>
      <t>Total de Custos Recorrentes (Opera</t>
    </r>
    <r>
      <rPr>
        <i/>
        <sz val="11"/>
        <color theme="1"/>
        <rFont val="Calibri"/>
        <family val="2"/>
      </rPr>
      <t>çõ</t>
    </r>
    <r>
      <rPr>
        <i/>
        <sz val="11"/>
        <color theme="1"/>
        <rFont val="Calibri"/>
        <family val="2"/>
        <scheme val="minor"/>
      </rPr>
      <t>es)</t>
    </r>
  </si>
  <si>
    <t>Inclui a monitoria e avaliação da eficácia e do impacto do programa.</t>
  </si>
  <si>
    <t>Podem incluir custos de mão-de-obra para a criação de planos de prestação de contas, recolha de métricas, elaboração de relatórios, interacção com doadores/financiadores. As actividades de monitoria e avaliação podem ser integradas nas responsabilidades do pessoal de gestão do projecto e representadas na categoria de custos de gestão do projecto, caso em que os custos não devem ser inseridos aqui.</t>
  </si>
  <si>
    <r>
      <t>Custo total de m</t>
    </r>
    <r>
      <rPr>
        <b/>
        <sz val="11"/>
        <rFont val="Calibri"/>
        <family val="2"/>
      </rPr>
      <t>ã</t>
    </r>
    <r>
      <rPr>
        <b/>
        <sz val="11"/>
        <rFont val="Calibri"/>
        <family val="2"/>
        <scheme val="minor"/>
      </rPr>
      <t>o-de-obra para a planifica</t>
    </r>
    <r>
      <rPr>
        <b/>
        <sz val="11"/>
        <rFont val="Calibri"/>
        <family val="2"/>
      </rPr>
      <t>çã</t>
    </r>
    <r>
      <rPr>
        <b/>
        <sz val="11"/>
        <rFont val="Calibri"/>
        <family val="2"/>
        <scheme val="minor"/>
      </rPr>
      <t>o e defini</t>
    </r>
    <r>
      <rPr>
        <b/>
        <sz val="11"/>
        <rFont val="Calibri"/>
        <family val="2"/>
      </rPr>
      <t>çã</t>
    </r>
    <r>
      <rPr>
        <b/>
        <sz val="11"/>
        <rFont val="Calibri"/>
        <family val="2"/>
        <scheme val="minor"/>
      </rPr>
      <t xml:space="preserve">o de </t>
    </r>
    <r>
      <rPr>
        <b/>
        <sz val="11"/>
        <rFont val="Calibri"/>
        <family val="2"/>
      </rPr>
      <t>â</t>
    </r>
    <r>
      <rPr>
        <b/>
        <sz val="11"/>
        <rFont val="Calibri"/>
        <family val="2"/>
        <scheme val="minor"/>
      </rPr>
      <t>mbito do projecto para a implanta</t>
    </r>
    <r>
      <rPr>
        <b/>
        <sz val="11"/>
        <rFont val="Calibri"/>
        <family val="2"/>
      </rPr>
      <t>çã</t>
    </r>
    <r>
      <rPr>
        <b/>
        <sz val="11"/>
        <rFont val="Calibri"/>
        <family val="2"/>
        <scheme val="minor"/>
      </rPr>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</si>
</sst>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Rs.-4009]\ #,##0"/>
    <numFmt numFmtId="167" formatCode="#,##0.0"/>
    <numFmt numFmtId="168" formatCode="&quot;$&quot;#,##0.0"/>
    <numFmt numFmtId="169" formatCode="\a."/>
    <numFmt numFmtId="170" formatCode="&quot;$&quot;#,##0"/>
    <numFmt numFmtId="171" formatCode="#,#00;;;"/>
    <numFmt numFmtId="172" formatCode="0.0"/>
    <numFmt numFmtId="173" formatCode="0.0%"/>
  </numFmts>
  <fonts count="104" x14ac:knownFonts="1">
    <font>
      <sz val="11"/>
      <color theme="1"/>
      <name val="Calibri"/>
      <family val="2"/>
      <scheme val="minor"/>
    </font>
    <font>
      <b/>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sz val="10.5"/>
      <color theme="0"/>
      <name val="Calibri"/>
      <family val="2"/>
      <scheme val="minor"/>
    </font>
    <font>
      <sz val="10.5"/>
      <name val="Calibri"/>
      <family val="2"/>
      <scheme val="minor"/>
    </font>
    <font>
      <sz val="11"/>
      <color rgb="FF000000"/>
      <name val="Calibri"/>
      <family val="2"/>
    </font>
    <font>
      <sz val="11"/>
      <color theme="1"/>
      <name val="Calibri"/>
      <family val="2"/>
    </font>
    <font>
      <sz val="11"/>
      <name val="Calibri"/>
      <family val="2"/>
    </font>
    <font>
      <b/>
      <sz val="11"/>
      <color rgb="FFFFFFFF"/>
      <name val="Calibri"/>
      <family val="2"/>
    </font>
    <font>
      <sz val="11"/>
      <color rgb="FFFFFFFF"/>
      <name val="Calibri"/>
      <family val="2"/>
    </font>
    <font>
      <i/>
      <sz val="11"/>
      <color rgb="FF000000"/>
      <name val="Calibri"/>
      <family val="2"/>
    </font>
    <font>
      <b/>
      <sz val="10"/>
      <color rgb="FFFFFFFF"/>
      <name val="Calibri"/>
      <family val="2"/>
    </font>
    <font>
      <b/>
      <sz val="12"/>
      <color rgb="FFFFFFFF"/>
      <name val="Calibri"/>
      <family val="2"/>
    </font>
    <font>
      <sz val="10"/>
      <color rgb="FF000000"/>
      <name val="Calibri"/>
      <family val="2"/>
    </font>
    <font>
      <i/>
      <sz val="10"/>
      <color rgb="FF000000"/>
      <name val="Calibri"/>
      <family val="2"/>
    </font>
    <font>
      <sz val="10"/>
      <name val="Calibri"/>
      <family val="2"/>
    </font>
    <font>
      <sz val="10"/>
      <name val="Times New Roman"/>
      <family val="1"/>
    </font>
    <font>
      <sz val="11"/>
      <color rgb="FFFF0000"/>
      <name val="Calibri"/>
      <family val="2"/>
    </font>
    <font>
      <i/>
      <sz val="8"/>
      <color rgb="FF000000"/>
      <name val="Calibri"/>
      <family val="2"/>
    </font>
    <font>
      <b/>
      <sz val="11"/>
      <color rgb="FF000000"/>
      <name val="Calibri"/>
      <family val="2"/>
    </font>
    <font>
      <b/>
      <sz val="10"/>
      <name val="Calibri"/>
      <family val="2"/>
    </font>
    <font>
      <sz val="10"/>
      <color rgb="FFFF0000"/>
      <name val="Calibri"/>
      <family val="2"/>
    </font>
    <font>
      <i/>
      <sz val="10"/>
      <name val="Calibri"/>
      <family val="2"/>
    </font>
    <font>
      <b/>
      <sz val="10"/>
      <color rgb="FF000000"/>
      <name val="Calibri"/>
      <family val="2"/>
    </font>
    <font>
      <sz val="9"/>
      <color indexed="81"/>
      <name val="Calibri"/>
      <family val="2"/>
    </font>
    <font>
      <b/>
      <sz val="14"/>
      <color rgb="FF000000"/>
      <name val="Calibri"/>
      <family val="2"/>
    </font>
    <font>
      <b/>
      <i/>
      <sz val="14"/>
      <color rgb="FF1F497D"/>
      <name val="Calibri"/>
      <family val="2"/>
    </font>
    <font>
      <b/>
      <i/>
      <sz val="11"/>
      <color rgb="FFFF0000"/>
      <name val="Calibri"/>
      <family val="2"/>
    </font>
    <font>
      <b/>
      <sz val="11"/>
      <name val="Calibri"/>
      <family val="2"/>
    </font>
    <font>
      <b/>
      <sz val="12"/>
      <name val="Calibri"/>
      <family val="2"/>
    </font>
    <font>
      <b/>
      <sz val="12"/>
      <color rgb="FF000000"/>
      <name val="Calibri"/>
      <family val="2"/>
    </font>
    <font>
      <b/>
      <sz val="9"/>
      <color indexed="81"/>
      <name val="Calibri"/>
      <family val="2"/>
    </font>
    <font>
      <b/>
      <sz val="11"/>
      <color theme="0"/>
      <name val="Calibri"/>
      <family val="2"/>
      <scheme val="minor"/>
    </font>
    <font>
      <sz val="11"/>
      <name val="Calibri"/>
      <family val="2"/>
      <scheme val="minor"/>
    </font>
    <font>
      <b/>
      <sz val="14"/>
      <color theme="0"/>
      <name val="Calibri"/>
      <family val="2"/>
      <scheme val="minor"/>
    </font>
    <font>
      <b/>
      <u/>
      <sz val="11"/>
      <color theme="0"/>
      <name val="Calibri"/>
      <family val="2"/>
      <scheme val="minor"/>
    </font>
    <font>
      <b/>
      <sz val="10"/>
      <color theme="0"/>
      <name val="Calibri"/>
      <family val="2"/>
      <scheme val="minor"/>
    </font>
    <font>
      <sz val="10"/>
      <color theme="1"/>
      <name val="Calibri"/>
      <family val="2"/>
      <scheme val="minor"/>
    </font>
    <font>
      <sz val="12"/>
      <color theme="1"/>
      <name val="Calibri"/>
      <family val="2"/>
      <scheme val="minor"/>
    </font>
    <font>
      <sz val="12"/>
      <name val="Calibri"/>
      <family val="2"/>
      <scheme val="minor"/>
    </font>
    <font>
      <b/>
      <sz val="12"/>
      <color theme="0"/>
      <name val="Calibri"/>
      <family val="2"/>
      <scheme val="minor"/>
    </font>
    <font>
      <sz val="14"/>
      <name val="Calibri"/>
      <family val="2"/>
      <scheme val="minor"/>
    </font>
    <font>
      <b/>
      <sz val="26"/>
      <color rgb="FFFF0000"/>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
      <u/>
      <sz val="11"/>
      <color theme="10"/>
      <name val="Calibri"/>
      <family val="2"/>
      <scheme val="minor"/>
    </font>
    <font>
      <sz val="11"/>
      <color theme="1" tint="0.14999847407452621"/>
      <name val="Calibri"/>
      <family val="2"/>
      <scheme val="minor"/>
    </font>
    <font>
      <b/>
      <sz val="11"/>
      <color theme="1" tint="0.14999847407452621"/>
      <name val="Calibri"/>
      <family val="2"/>
      <scheme val="minor"/>
    </font>
    <font>
      <b/>
      <sz val="16"/>
      <color theme="0"/>
      <name val="Calibri"/>
      <family val="2"/>
      <scheme val="minor"/>
    </font>
    <font>
      <b/>
      <sz val="11"/>
      <name val="Calibri"/>
      <family val="2"/>
      <scheme val="minor"/>
    </font>
    <font>
      <i/>
      <sz val="11"/>
      <color theme="1"/>
      <name val="Calibri"/>
      <family val="2"/>
      <scheme val="minor"/>
    </font>
    <font>
      <i/>
      <u/>
      <sz val="11"/>
      <color theme="10"/>
      <name val="Calibri"/>
      <family val="2"/>
      <scheme val="minor"/>
    </font>
    <font>
      <i/>
      <sz val="11"/>
      <color rgb="FFFF0000"/>
      <name val="Calibri"/>
      <family val="2"/>
      <scheme val="minor"/>
    </font>
    <font>
      <b/>
      <i/>
      <sz val="11"/>
      <color theme="1"/>
      <name val="Calibri"/>
      <family val="2"/>
      <scheme val="minor"/>
    </font>
    <font>
      <b/>
      <sz val="14"/>
      <color theme="3"/>
      <name val="Calibri"/>
      <family val="2"/>
      <scheme val="minor"/>
    </font>
    <font>
      <b/>
      <sz val="10"/>
      <color theme="0"/>
      <name val="Arial"/>
      <family val="2"/>
    </font>
    <font>
      <sz val="11"/>
      <color theme="0"/>
      <name val="Calibri"/>
      <family val="2"/>
      <scheme val="minor"/>
    </font>
    <font>
      <b/>
      <sz val="18"/>
      <color rgb="FFFF0000"/>
      <name val="Calibri"/>
      <family val="2"/>
      <scheme val="minor"/>
    </font>
    <font>
      <i/>
      <sz val="11"/>
      <name val="Calibri"/>
      <family val="2"/>
      <scheme val="minor"/>
    </font>
    <font>
      <b/>
      <sz val="10"/>
      <color theme="1"/>
      <name val="Arial"/>
      <family val="2"/>
    </font>
    <font>
      <i/>
      <sz val="11"/>
      <color theme="0"/>
      <name val="Calibri"/>
      <family val="2"/>
      <scheme val="minor"/>
    </font>
    <font>
      <b/>
      <sz val="14"/>
      <color theme="1"/>
      <name val="Calibri"/>
      <family val="2"/>
      <scheme val="minor"/>
    </font>
    <font>
      <b/>
      <u val="singleAccounting"/>
      <sz val="11"/>
      <color theme="1"/>
      <name val="Calibri"/>
      <family val="2"/>
      <scheme val="minor"/>
    </font>
    <font>
      <i/>
      <u/>
      <sz val="11"/>
      <color rgb="FF0563C1"/>
      <name val="Calibri"/>
      <family val="2"/>
      <scheme val="minor"/>
    </font>
    <font>
      <u/>
      <sz val="11"/>
      <color rgb="FF0563C1"/>
      <name val="Calibri"/>
      <family val="2"/>
      <scheme val="minor"/>
    </font>
    <font>
      <sz val="11"/>
      <color theme="0" tint="-0.34998626667073579"/>
      <name val="Calibri"/>
      <family val="2"/>
      <scheme val="minor"/>
    </font>
    <font>
      <b/>
      <sz val="11"/>
      <color theme="0" tint="-0.34998626667073579"/>
      <name val="Calibri"/>
      <family val="2"/>
      <scheme val="minor"/>
    </font>
    <font>
      <b/>
      <sz val="16"/>
      <color theme="1"/>
      <name val="Calibri"/>
      <family val="2"/>
      <scheme val="minor"/>
    </font>
    <font>
      <b/>
      <sz val="16"/>
      <color rgb="FFFF0000"/>
      <name val="Calibri"/>
      <family val="2"/>
      <scheme val="minor"/>
    </font>
    <font>
      <sz val="10"/>
      <color rgb="FF000000"/>
      <name val="Tahoma"/>
      <family val="2"/>
    </font>
    <font>
      <b/>
      <u/>
      <sz val="14"/>
      <color rgb="FFFF0000"/>
      <name val="Calibri"/>
      <family val="2"/>
      <scheme val="minor"/>
    </font>
    <font>
      <strike/>
      <sz val="11"/>
      <name val="Calibri"/>
      <family val="2"/>
      <scheme val="minor"/>
    </font>
    <font>
      <strike/>
      <sz val="11"/>
      <color theme="1"/>
      <name val="Calibri"/>
      <family val="2"/>
      <scheme val="minor"/>
    </font>
    <font>
      <i/>
      <strike/>
      <sz val="11"/>
      <color theme="1"/>
      <name val="Calibri"/>
      <family val="2"/>
      <scheme val="minor"/>
    </font>
    <font>
      <sz val="11"/>
      <color rgb="FF000000"/>
      <name val="Calibri"/>
      <family val="2"/>
      <scheme val="minor"/>
    </font>
    <font>
      <b/>
      <sz val="12"/>
      <color rgb="FFFF0000"/>
      <name val="Calibri"/>
      <family val="2"/>
      <scheme val="minor"/>
    </font>
    <font>
      <b/>
      <sz val="14"/>
      <color rgb="FFFF0000"/>
      <name val="Calibri"/>
      <family val="2"/>
      <scheme val="minor"/>
    </font>
    <font>
      <i/>
      <sz val="11"/>
      <color theme="1"/>
      <name val="Arial"/>
      <family val="2"/>
    </font>
    <font>
      <sz val="8"/>
      <color theme="1"/>
      <name val="Calibri"/>
      <family val="2"/>
      <scheme val="minor"/>
    </font>
    <font>
      <sz val="11"/>
      <color rgb="FF000000"/>
      <name val="Arial"/>
      <family val="2"/>
    </font>
    <font>
      <sz val="11"/>
      <color theme="1"/>
      <name val="Arial"/>
      <family val="2"/>
    </font>
    <font>
      <b/>
      <i/>
      <sz val="10"/>
      <color theme="0"/>
      <name val="Arial"/>
      <family val="2"/>
    </font>
    <font>
      <sz val="10"/>
      <color rgb="FF50889F"/>
      <name val="Calibri"/>
      <family val="2"/>
      <scheme val="minor"/>
    </font>
    <font>
      <sz val="11"/>
      <color rgb="FF2E274F"/>
      <name val="Calibri"/>
      <family val="2"/>
      <scheme val="minor"/>
    </font>
    <font>
      <b/>
      <sz val="14"/>
      <color rgb="FF0A3743"/>
      <name val="Calibri"/>
      <family val="2"/>
      <scheme val="minor"/>
    </font>
    <font>
      <sz val="24"/>
      <color theme="1"/>
      <name val="Calibri"/>
      <family val="2"/>
      <scheme val="minor"/>
    </font>
    <font>
      <sz val="24"/>
      <color rgb="FF50889F"/>
      <name val="Calibri"/>
      <family val="2"/>
      <scheme val="minor"/>
    </font>
    <font>
      <sz val="10"/>
      <color theme="1"/>
      <name val="Arial"/>
      <family val="2"/>
    </font>
    <font>
      <sz val="11"/>
      <color rgb="FF0A3743"/>
      <name val="Calibri"/>
      <family val="2"/>
      <scheme val="minor"/>
    </font>
    <font>
      <sz val="11"/>
      <color rgb="FF50889F"/>
      <name val="Calibri"/>
      <family val="2"/>
      <scheme val="minor"/>
    </font>
    <font>
      <sz val="7"/>
      <color theme="1"/>
      <name val="Times New Roman"/>
      <family val="1"/>
    </font>
    <font>
      <u/>
      <sz val="11"/>
      <color rgb="FF0562C1"/>
      <name val="Calibri"/>
      <family val="2"/>
      <scheme val="minor"/>
    </font>
    <font>
      <sz val="11"/>
      <color rgb="FF0562C1"/>
      <name val="Calibri"/>
      <family val="2"/>
      <scheme val="minor"/>
    </font>
    <font>
      <sz val="11"/>
      <color theme="10"/>
      <name val="Calibri"/>
      <family val="2"/>
      <scheme val="minor"/>
    </font>
    <font>
      <sz val="8"/>
      <name val="Calibri"/>
      <family val="2"/>
      <scheme val="minor"/>
    </font>
    <font>
      <i/>
      <sz val="11"/>
      <color theme="1"/>
      <name val="Calibri"/>
      <family val="2"/>
    </font>
    <font>
      <b/>
      <sz val="11"/>
      <color theme="0"/>
      <name val="Calibri"/>
      <family val="2"/>
    </font>
    <font>
      <b/>
      <sz val="16"/>
      <color theme="1"/>
      <name val="Calibri"/>
      <family val="2"/>
    </font>
    <font>
      <u/>
      <sz val="11"/>
      <color theme="10"/>
      <name val="Calibri"/>
      <family val="2"/>
    </font>
    <font>
      <b/>
      <sz val="9.35"/>
      <name val="Calibri"/>
      <family val="2"/>
    </font>
    <font>
      <i/>
      <sz val="11"/>
      <name val="Calibri"/>
      <family val="2"/>
    </font>
  </fonts>
  <fills count="50">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FFFF"/>
        <bgColor rgb="FF000000"/>
      </patternFill>
    </fill>
    <fill>
      <patternFill patternType="solid">
        <fgColor rgb="FF244062"/>
        <bgColor rgb="FF000000"/>
      </patternFill>
    </fill>
    <fill>
      <patternFill patternType="solid">
        <fgColor rgb="FF16365C"/>
        <bgColor rgb="FF000000"/>
      </patternFill>
    </fill>
    <fill>
      <patternFill patternType="solid">
        <fgColor rgb="FFFDE9D9"/>
        <bgColor rgb="FF000000"/>
      </patternFill>
    </fill>
    <fill>
      <patternFill patternType="solid">
        <fgColor rgb="FFDCE6F1"/>
        <bgColor rgb="FF000000"/>
      </patternFill>
    </fill>
    <fill>
      <patternFill patternType="solid">
        <fgColor rgb="FFD8E4BC"/>
        <bgColor rgb="FF000000"/>
      </patternFill>
    </fill>
    <fill>
      <patternFill patternType="solid">
        <fgColor rgb="FF538DD5"/>
        <bgColor rgb="FF000000"/>
      </patternFill>
    </fill>
    <fill>
      <patternFill patternType="solid">
        <fgColor rgb="FF4F81BD"/>
        <bgColor rgb="FF000000"/>
      </patternFill>
    </fill>
    <fill>
      <patternFill patternType="solid">
        <fgColor rgb="FFD9D9D9"/>
        <bgColor rgb="FF000000"/>
      </patternFill>
    </fill>
    <fill>
      <patternFill patternType="solid">
        <fgColor rgb="FFCCFFCC"/>
        <bgColor rgb="FF000000"/>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3"/>
        <bgColor indexed="64"/>
      </patternFill>
    </fill>
    <fill>
      <patternFill patternType="solid">
        <fgColor theme="4"/>
        <bgColor theme="4"/>
      </patternFill>
    </fill>
    <fill>
      <patternFill patternType="solid">
        <fgColor theme="0" tint="-0.499984740745262"/>
        <bgColor theme="4"/>
      </patternFill>
    </fill>
    <fill>
      <patternFill patternType="solid">
        <fgColor theme="2" tint="-9.9978637043366805E-2"/>
        <bgColor indexed="64"/>
      </patternFill>
    </fill>
    <fill>
      <patternFill patternType="solid">
        <fgColor theme="8" tint="0.59999389629810485"/>
        <bgColor indexed="65"/>
      </patternFill>
    </fill>
    <fill>
      <patternFill patternType="solid">
        <fgColor theme="9" tint="0.59999389629810485"/>
        <bgColor indexed="65"/>
      </patternFill>
    </fill>
    <fill>
      <patternFill patternType="solid">
        <fgColor rgb="FF0A3743"/>
        <bgColor indexed="64"/>
      </patternFill>
    </fill>
  </fills>
  <borders count="81">
    <border>
      <left/>
      <right/>
      <top/>
      <bottom/>
      <diagonal/>
    </border>
    <border>
      <left/>
      <right/>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style="medium">
        <color auto="1"/>
      </left>
      <right/>
      <top/>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hair">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top/>
      <bottom style="thin">
        <color theme="2" tint="-0.499984740745262"/>
      </bottom>
      <diagonal/>
    </border>
    <border>
      <left/>
      <right/>
      <top/>
      <bottom style="double">
        <color theme="2" tint="-0.499984740745262"/>
      </bottom>
      <diagonal/>
    </border>
    <border>
      <left style="thin">
        <color indexed="64"/>
      </left>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indexed="64"/>
      </right>
      <top/>
      <bottom/>
      <diagonal/>
    </border>
    <border>
      <left/>
      <right style="thin">
        <color indexed="64"/>
      </right>
      <top style="thin">
        <color indexed="64"/>
      </top>
      <bottom/>
      <diagonal/>
    </border>
    <border>
      <left style="thin">
        <color theme="4" tint="0.39997558519241921"/>
      </left>
      <right/>
      <top style="thin">
        <color theme="4" tint="0.39997558519241921"/>
      </top>
      <bottom/>
      <diagonal/>
    </border>
    <border>
      <left style="thin">
        <color theme="4" tint="0.39997558519241921"/>
      </left>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auto="1"/>
      </bottom>
      <diagonal/>
    </border>
    <border>
      <left style="thin">
        <color theme="1"/>
      </left>
      <right style="thin">
        <color theme="1"/>
      </right>
      <top/>
      <bottom style="thin">
        <color indexed="64"/>
      </bottom>
      <diagonal/>
    </border>
    <border>
      <left style="thin">
        <color auto="1"/>
      </left>
      <right style="thin">
        <color auto="1"/>
      </right>
      <top style="thin">
        <color theme="1"/>
      </top>
      <bottom style="thin">
        <color auto="1"/>
      </bottom>
      <diagonal/>
    </border>
    <border>
      <left/>
      <right/>
      <top/>
      <bottom style="double">
        <color rgb="FF000000"/>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6" fontId="2" fillId="0" borderId="0"/>
    <xf numFmtId="166" fontId="7" fillId="0" borderId="0"/>
    <xf numFmtId="166" fontId="2" fillId="0" borderId="0"/>
    <xf numFmtId="166" fontId="18" fillId="0" borderId="0"/>
    <xf numFmtId="166" fontId="2" fillId="0" borderId="0"/>
    <xf numFmtId="0" fontId="48" fillId="0" borderId="0" applyNumberFormat="0" applyFill="0" applyBorder="0" applyAlignment="0" applyProtection="0"/>
    <xf numFmtId="0" fontId="2" fillId="47" borderId="0" applyNumberFormat="0" applyBorder="0" applyAlignment="0" applyProtection="0"/>
    <xf numFmtId="0" fontId="2" fillId="48" borderId="0" applyNumberFormat="0" applyBorder="0" applyAlignment="0" applyProtection="0"/>
  </cellStyleXfs>
  <cellXfs count="1059">
    <xf numFmtId="0" fontId="0" fillId="0" borderId="0" xfId="0"/>
    <xf numFmtId="9" fontId="4" fillId="0" borderId="0" xfId="3" applyFont="1" applyBorder="1" applyAlignment="1">
      <alignment wrapText="1"/>
    </xf>
    <xf numFmtId="164" fontId="4" fillId="0" borderId="0" xfId="1" applyNumberFormat="1" applyFont="1" applyBorder="1" applyAlignment="1"/>
    <xf numFmtId="9" fontId="4" fillId="0" borderId="0" xfId="3" applyFont="1" applyBorder="1" applyAlignment="1"/>
    <xf numFmtId="164" fontId="4" fillId="4" borderId="0" xfId="1" applyNumberFormat="1" applyFont="1" applyFill="1" applyBorder="1" applyAlignment="1"/>
    <xf numFmtId="164" fontId="3" fillId="3" borderId="0" xfId="1" applyNumberFormat="1" applyFont="1" applyFill="1" applyBorder="1" applyAlignment="1"/>
    <xf numFmtId="43" fontId="4" fillId="0" borderId="0" xfId="1" applyFont="1" applyBorder="1" applyAlignment="1"/>
    <xf numFmtId="9" fontId="4" fillId="4" borderId="0" xfId="3" applyFont="1" applyFill="1" applyBorder="1" applyAlignment="1"/>
    <xf numFmtId="164" fontId="3" fillId="4" borderId="0" xfId="1" applyNumberFormat="1" applyFont="1" applyFill="1" applyBorder="1" applyAlignment="1"/>
    <xf numFmtId="9" fontId="4" fillId="0" borderId="0" xfId="3" applyFont="1" applyFill="1" applyBorder="1" applyAlignment="1">
      <alignment wrapText="1"/>
    </xf>
    <xf numFmtId="9" fontId="4" fillId="3" borderId="0" xfId="3" applyFont="1" applyFill="1" applyBorder="1" applyAlignment="1">
      <alignment wrapText="1"/>
    </xf>
    <xf numFmtId="9" fontId="4" fillId="0" borderId="0" xfId="3" applyFont="1" applyBorder="1" applyAlignment="1">
      <alignment horizontal="left" wrapText="1"/>
    </xf>
    <xf numFmtId="164" fontId="4" fillId="4" borderId="0" xfId="3" applyNumberFormat="1" applyFont="1" applyFill="1" applyBorder="1" applyAlignment="1"/>
    <xf numFmtId="9" fontId="5" fillId="0" borderId="0" xfId="3" applyFont="1" applyBorder="1" applyAlignment="1"/>
    <xf numFmtId="164" fontId="5" fillId="0" borderId="0" xfId="3" applyNumberFormat="1" applyFont="1" applyBorder="1" applyAlignment="1"/>
    <xf numFmtId="0" fontId="7" fillId="6" borderId="0" xfId="0" applyFont="1" applyFill="1"/>
    <xf numFmtId="0" fontId="8" fillId="6" borderId="0" xfId="0" applyFont="1" applyFill="1"/>
    <xf numFmtId="166" fontId="7" fillId="6" borderId="3" xfId="4" applyFont="1" applyFill="1" applyBorder="1"/>
    <xf numFmtId="166" fontId="7" fillId="6" borderId="4" xfId="4" applyFont="1" applyFill="1" applyBorder="1"/>
    <xf numFmtId="166" fontId="7" fillId="6" borderId="4" xfId="4" applyFont="1" applyFill="1" applyBorder="1" applyAlignment="1">
      <alignment horizontal="right" indent="1"/>
    </xf>
    <xf numFmtId="166" fontId="7" fillId="6" borderId="0" xfId="4" applyFont="1" applyFill="1"/>
    <xf numFmtId="166" fontId="7" fillId="6" borderId="5" xfId="4" applyFont="1" applyFill="1" applyBorder="1"/>
    <xf numFmtId="166" fontId="9" fillId="6" borderId="0" xfId="4" applyFont="1" applyFill="1"/>
    <xf numFmtId="166" fontId="7" fillId="6" borderId="0" xfId="4" applyFont="1" applyFill="1" applyAlignment="1">
      <alignment horizontal="right" indent="1"/>
    </xf>
    <xf numFmtId="166" fontId="7" fillId="6" borderId="6" xfId="4" applyFont="1" applyFill="1" applyBorder="1"/>
    <xf numFmtId="166" fontId="7" fillId="6" borderId="2" xfId="4" applyFont="1" applyFill="1" applyBorder="1"/>
    <xf numFmtId="166" fontId="10" fillId="6" borderId="2" xfId="4" applyFont="1" applyFill="1" applyBorder="1"/>
    <xf numFmtId="166" fontId="11" fillId="6" borderId="2" xfId="4" applyFont="1" applyFill="1" applyBorder="1"/>
    <xf numFmtId="0" fontId="12" fillId="6" borderId="7" xfId="0" applyFont="1" applyFill="1" applyBorder="1"/>
    <xf numFmtId="0" fontId="8" fillId="6" borderId="2" xfId="0" applyFont="1" applyFill="1" applyBorder="1"/>
    <xf numFmtId="0" fontId="7" fillId="6" borderId="6" xfId="0" applyFont="1" applyFill="1" applyBorder="1"/>
    <xf numFmtId="166" fontId="13" fillId="6" borderId="0" xfId="0" applyNumberFormat="1" applyFont="1" applyFill="1"/>
    <xf numFmtId="166" fontId="14" fillId="7" borderId="8" xfId="5" applyFont="1" applyFill="1" applyBorder="1" applyAlignment="1">
      <alignment vertical="center" wrapText="1"/>
    </xf>
    <xf numFmtId="166" fontId="13" fillId="8" borderId="9" xfId="5" applyFont="1" applyFill="1" applyBorder="1" applyAlignment="1" applyProtection="1">
      <alignment horizontal="center" vertical="center" wrapText="1"/>
      <protection locked="0"/>
    </xf>
    <xf numFmtId="166" fontId="13" fillId="8" borderId="10" xfId="5" applyFont="1" applyFill="1" applyBorder="1" applyAlignment="1" applyProtection="1">
      <alignment horizontal="center" vertical="center" wrapText="1"/>
      <protection locked="0"/>
    </xf>
    <xf numFmtId="0" fontId="7" fillId="6" borderId="0" xfId="0" applyFont="1" applyFill="1" applyProtection="1">
      <protection locked="0"/>
    </xf>
    <xf numFmtId="3" fontId="15" fillId="9" borderId="11" xfId="6" applyNumberFormat="1" applyFont="1" applyFill="1" applyBorder="1" applyAlignment="1">
      <alignment horizontal="right" vertical="center" indent="1"/>
    </xf>
    <xf numFmtId="166" fontId="16" fillId="6" borderId="3" xfId="4" applyFont="1" applyFill="1" applyBorder="1" applyAlignment="1">
      <alignment vertical="center"/>
    </xf>
    <xf numFmtId="166" fontId="7" fillId="6" borderId="12" xfId="4" applyFont="1" applyFill="1" applyBorder="1" applyAlignment="1">
      <alignment vertical="center"/>
    </xf>
    <xf numFmtId="0" fontId="7" fillId="6" borderId="6" xfId="0" applyFont="1" applyFill="1" applyBorder="1" applyAlignment="1">
      <alignment vertical="center"/>
    </xf>
    <xf numFmtId="3" fontId="15" fillId="6" borderId="0" xfId="0" applyNumberFormat="1" applyFont="1" applyFill="1" applyAlignment="1">
      <alignment vertical="center"/>
    </xf>
    <xf numFmtId="166" fontId="15" fillId="10" borderId="5" xfId="0" applyNumberFormat="1" applyFont="1" applyFill="1" applyBorder="1" applyAlignment="1">
      <alignment horizontal="left" vertical="center" indent="1"/>
    </xf>
    <xf numFmtId="3" fontId="15" fillId="9" borderId="13" xfId="0" applyNumberFormat="1" applyFont="1" applyFill="1" applyBorder="1" applyAlignment="1" applyProtection="1">
      <alignment horizontal="right" vertical="center" indent="1"/>
      <protection locked="0"/>
    </xf>
    <xf numFmtId="0" fontId="7" fillId="6" borderId="0" xfId="0" applyFont="1" applyFill="1" applyAlignment="1" applyProtection="1">
      <alignment vertical="center"/>
      <protection locked="0"/>
    </xf>
    <xf numFmtId="44" fontId="7" fillId="0" borderId="11" xfId="4" applyNumberFormat="1" applyFont="1" applyBorder="1"/>
    <xf numFmtId="166" fontId="16" fillId="6" borderId="6" xfId="4" applyFont="1" applyFill="1" applyBorder="1" applyAlignment="1">
      <alignment vertical="center"/>
    </xf>
    <xf numFmtId="166" fontId="7" fillId="6" borderId="14" xfId="4" applyFont="1" applyFill="1" applyBorder="1" applyAlignment="1">
      <alignment vertical="center"/>
    </xf>
    <xf numFmtId="0" fontId="7" fillId="6" borderId="0" xfId="0" applyFont="1" applyFill="1" applyAlignment="1">
      <alignment vertical="center"/>
    </xf>
    <xf numFmtId="166" fontId="17" fillId="10" borderId="5" xfId="0" applyNumberFormat="1" applyFont="1" applyFill="1" applyBorder="1" applyAlignment="1">
      <alignment horizontal="left" vertical="center" indent="1"/>
    </xf>
    <xf numFmtId="44" fontId="7" fillId="11" borderId="11" xfId="4" applyNumberFormat="1" applyFont="1" applyFill="1" applyBorder="1"/>
    <xf numFmtId="166" fontId="16" fillId="6" borderId="15" xfId="4" applyFont="1" applyFill="1" applyBorder="1" applyAlignment="1">
      <alignment vertical="center"/>
    </xf>
    <xf numFmtId="0" fontId="7" fillId="6" borderId="16" xfId="0" applyFont="1" applyFill="1" applyBorder="1" applyAlignment="1">
      <alignment vertical="center"/>
    </xf>
    <xf numFmtId="166" fontId="15" fillId="10" borderId="17" xfId="0" applyNumberFormat="1" applyFont="1" applyFill="1" applyBorder="1" applyAlignment="1">
      <alignment horizontal="left" vertical="center" indent="1"/>
    </xf>
    <xf numFmtId="166" fontId="17" fillId="10" borderId="15" xfId="0" applyNumberFormat="1" applyFont="1" applyFill="1" applyBorder="1" applyAlignment="1">
      <alignment horizontal="left" vertical="center" indent="1"/>
    </xf>
    <xf numFmtId="3" fontId="15" fillId="9" borderId="11" xfId="0" applyNumberFormat="1" applyFont="1" applyFill="1" applyBorder="1" applyAlignment="1" applyProtection="1">
      <alignment horizontal="right" vertical="center" indent="1"/>
      <protection locked="0"/>
    </xf>
    <xf numFmtId="166" fontId="16" fillId="6" borderId="0" xfId="4" applyFont="1" applyFill="1" applyAlignment="1">
      <alignment vertical="center"/>
    </xf>
    <xf numFmtId="166" fontId="7" fillId="6" borderId="0" xfId="4" applyFont="1" applyFill="1" applyProtection="1">
      <protection locked="0"/>
    </xf>
    <xf numFmtId="166" fontId="7" fillId="6" borderId="0" xfId="4" applyFont="1" applyFill="1" applyAlignment="1" applyProtection="1">
      <alignment horizontal="right" indent="1"/>
      <protection locked="0"/>
    </xf>
    <xf numFmtId="166" fontId="14" fillId="7" borderId="18" xfId="7" applyFont="1" applyFill="1" applyBorder="1" applyAlignment="1">
      <alignment vertical="center"/>
    </xf>
    <xf numFmtId="166" fontId="13" fillId="7" borderId="19" xfId="7" applyFont="1" applyFill="1" applyBorder="1" applyAlignment="1" applyProtection="1">
      <alignment horizontal="center" vertical="center" wrapText="1"/>
      <protection locked="0"/>
    </xf>
    <xf numFmtId="166" fontId="13" fillId="7" borderId="20" xfId="7" applyFont="1" applyFill="1" applyBorder="1" applyAlignment="1" applyProtection="1">
      <alignment horizontal="center" vertical="center" wrapText="1"/>
      <protection locked="0"/>
    </xf>
    <xf numFmtId="166" fontId="19" fillId="6" borderId="0" xfId="4" applyFont="1" applyFill="1" applyAlignment="1">
      <alignment horizontal="left" indent="1"/>
    </xf>
    <xf numFmtId="166" fontId="15" fillId="10" borderId="21" xfId="5" applyFont="1" applyFill="1" applyBorder="1" applyAlignment="1">
      <alignment horizontal="left" vertical="center" indent="1"/>
    </xf>
    <xf numFmtId="3" fontId="15" fillId="9" borderId="11" xfId="6" applyNumberFormat="1" applyFont="1" applyFill="1" applyBorder="1" applyAlignment="1" applyProtection="1">
      <alignment horizontal="right" vertical="center" indent="1"/>
      <protection locked="0"/>
    </xf>
    <xf numFmtId="166" fontId="19" fillId="6" borderId="0" xfId="4" applyFont="1" applyFill="1" applyAlignment="1" applyProtection="1">
      <alignment horizontal="right" indent="1"/>
      <protection locked="0"/>
    </xf>
    <xf numFmtId="0" fontId="12" fillId="6" borderId="0" xfId="0" applyFont="1" applyFill="1" applyProtection="1">
      <protection locked="0"/>
    </xf>
    <xf numFmtId="166" fontId="15" fillId="10" borderId="22" xfId="5" applyFont="1" applyFill="1" applyBorder="1" applyAlignment="1">
      <alignment horizontal="left" vertical="center" indent="1"/>
    </xf>
    <xf numFmtId="166" fontId="15" fillId="10" borderId="22" xfId="5" applyFont="1" applyFill="1" applyBorder="1" applyAlignment="1" applyProtection="1">
      <alignment horizontal="left" vertical="center" indent="1"/>
      <protection locked="0"/>
    </xf>
    <xf numFmtId="0" fontId="19" fillId="6" borderId="0" xfId="0" applyFont="1" applyFill="1" applyAlignment="1" applyProtection="1">
      <alignment vertical="center"/>
      <protection locked="0"/>
    </xf>
    <xf numFmtId="0" fontId="20" fillId="6" borderId="0" xfId="0" applyFont="1" applyFill="1"/>
    <xf numFmtId="0" fontId="8" fillId="6" borderId="0" xfId="0" applyFont="1" applyFill="1" applyProtection="1">
      <protection locked="0"/>
    </xf>
    <xf numFmtId="9" fontId="17" fillId="9" borderId="11" xfId="6" applyNumberFormat="1" applyFont="1" applyFill="1" applyBorder="1" applyAlignment="1" applyProtection="1">
      <alignment horizontal="right" indent="1"/>
      <protection locked="0"/>
    </xf>
    <xf numFmtId="166" fontId="7" fillId="6" borderId="6" xfId="6" applyFont="1" applyFill="1" applyBorder="1"/>
    <xf numFmtId="166" fontId="14" fillId="8" borderId="8" xfId="5" applyFont="1" applyFill="1" applyBorder="1" applyAlignment="1">
      <alignment vertical="center" wrapText="1"/>
    </xf>
    <xf numFmtId="166" fontId="14" fillId="8" borderId="23" xfId="7" applyFont="1" applyFill="1" applyBorder="1" applyAlignment="1" applyProtection="1">
      <alignment horizontal="center" vertical="center" wrapText="1"/>
      <protection locked="0"/>
    </xf>
    <xf numFmtId="166" fontId="14" fillId="8" borderId="24" xfId="7" applyFont="1" applyFill="1" applyBorder="1" applyAlignment="1" applyProtection="1">
      <alignment horizontal="center" vertical="center" wrapText="1"/>
      <protection locked="0"/>
    </xf>
    <xf numFmtId="44" fontId="14" fillId="8" borderId="10" xfId="2" applyFont="1" applyFill="1" applyBorder="1" applyAlignment="1" applyProtection="1">
      <alignment horizontal="center" vertical="center" wrapText="1"/>
      <protection locked="0"/>
    </xf>
    <xf numFmtId="0" fontId="7" fillId="0" borderId="0" xfId="0" applyFont="1" applyProtection="1">
      <protection locked="0"/>
    </xf>
    <xf numFmtId="0" fontId="21" fillId="0" borderId="0" xfId="0" applyFont="1"/>
    <xf numFmtId="0" fontId="21" fillId="0" borderId="0" xfId="0" applyFont="1" applyAlignment="1">
      <alignment vertical="center"/>
    </xf>
    <xf numFmtId="166" fontId="10" fillId="12" borderId="5" xfId="7" applyFont="1" applyFill="1" applyBorder="1"/>
    <xf numFmtId="166" fontId="7" fillId="12" borderId="0" xfId="6" applyFont="1" applyFill="1" applyProtection="1">
      <protection locked="0"/>
    </xf>
    <xf numFmtId="44" fontId="7" fillId="12" borderId="14" xfId="2" applyFont="1" applyFill="1" applyBorder="1" applyProtection="1">
      <protection locked="0"/>
    </xf>
    <xf numFmtId="166" fontId="7" fillId="6" borderId="0" xfId="6" applyFont="1" applyFill="1" applyProtection="1">
      <protection locked="0"/>
    </xf>
    <xf numFmtId="0" fontId="21" fillId="0" borderId="0" xfId="0" applyFont="1" applyProtection="1">
      <protection locked="0"/>
    </xf>
    <xf numFmtId="0" fontId="7" fillId="0" borderId="0" xfId="0" applyFont="1" applyAlignment="1">
      <alignment vertical="center"/>
    </xf>
    <xf numFmtId="166" fontId="15" fillId="10" borderId="22" xfId="5" applyFont="1" applyFill="1" applyBorder="1" applyAlignment="1">
      <alignment horizontal="left" vertical="center"/>
    </xf>
    <xf numFmtId="166" fontId="15" fillId="10" borderId="25" xfId="6" applyFont="1" applyFill="1" applyBorder="1" applyAlignment="1" applyProtection="1">
      <alignment horizontal="center"/>
      <protection locked="0"/>
    </xf>
    <xf numFmtId="9" fontId="15" fillId="9" borderId="11" xfId="6" applyNumberFormat="1" applyFont="1" applyFill="1" applyBorder="1" applyAlignment="1" applyProtection="1">
      <alignment horizontal="right" indent="1"/>
      <protection locked="0"/>
    </xf>
    <xf numFmtId="44" fontId="7" fillId="10" borderId="26" xfId="2" applyFont="1" applyFill="1" applyBorder="1" applyProtection="1">
      <protection locked="0"/>
    </xf>
    <xf numFmtId="166" fontId="15" fillId="6" borderId="0" xfId="6" applyFont="1" applyFill="1" applyProtection="1">
      <protection locked="0"/>
    </xf>
    <xf numFmtId="0" fontId="8" fillId="0" borderId="0" xfId="0" applyFont="1" applyProtection="1">
      <protection locked="0"/>
    </xf>
    <xf numFmtId="166" fontId="22" fillId="10" borderId="22" xfId="7" applyFont="1" applyFill="1" applyBorder="1" applyAlignment="1">
      <alignment horizontal="left" vertical="center" indent="1"/>
    </xf>
    <xf numFmtId="6" fontId="17" fillId="10" borderId="25" xfId="7" applyNumberFormat="1" applyFont="1" applyFill="1" applyBorder="1" applyProtection="1">
      <protection locked="0"/>
    </xf>
    <xf numFmtId="6" fontId="17" fillId="10" borderId="25" xfId="7" applyNumberFormat="1" applyFont="1" applyFill="1" applyBorder="1" applyAlignment="1" applyProtection="1">
      <alignment horizontal="right" indent="1"/>
      <protection locked="0"/>
    </xf>
    <xf numFmtId="44" fontId="17" fillId="10" borderId="27" xfId="2" applyFont="1" applyFill="1" applyBorder="1" applyAlignment="1" applyProtection="1">
      <alignment horizontal="right" indent="1"/>
      <protection locked="0"/>
    </xf>
    <xf numFmtId="166" fontId="9" fillId="6" borderId="0" xfId="6" applyFont="1" applyFill="1" applyProtection="1">
      <protection locked="0"/>
    </xf>
    <xf numFmtId="166" fontId="15" fillId="10" borderId="22" xfId="5" applyFont="1" applyFill="1" applyBorder="1" applyAlignment="1">
      <alignment horizontal="left" vertical="center" indent="2"/>
    </xf>
    <xf numFmtId="166" fontId="15" fillId="10" borderId="25" xfId="6" applyFont="1" applyFill="1" applyBorder="1" applyProtection="1">
      <protection locked="0"/>
    </xf>
    <xf numFmtId="3" fontId="15" fillId="9" borderId="11" xfId="6" applyNumberFormat="1" applyFont="1" applyFill="1" applyBorder="1" applyAlignment="1" applyProtection="1">
      <alignment horizontal="right" indent="1"/>
      <protection locked="0"/>
    </xf>
    <xf numFmtId="44" fontId="15" fillId="9" borderId="11" xfId="2" applyFont="1" applyFill="1" applyBorder="1" applyAlignment="1" applyProtection="1">
      <alignment horizontal="right" indent="1"/>
      <protection locked="0"/>
    </xf>
    <xf numFmtId="8" fontId="23" fillId="6" borderId="0" xfId="6" applyNumberFormat="1" applyFont="1" applyFill="1" applyProtection="1">
      <protection locked="0"/>
    </xf>
    <xf numFmtId="8" fontId="15" fillId="6" borderId="0" xfId="6" applyNumberFormat="1" applyFont="1" applyFill="1" applyProtection="1">
      <protection locked="0"/>
    </xf>
    <xf numFmtId="166" fontId="15" fillId="10" borderId="28" xfId="5" applyFont="1" applyFill="1" applyBorder="1" applyAlignment="1">
      <alignment horizontal="left" vertical="center" indent="2"/>
    </xf>
    <xf numFmtId="166" fontId="15" fillId="10" borderId="2" xfId="5" applyFont="1" applyFill="1" applyBorder="1" applyAlignment="1">
      <alignment horizontal="left" vertical="center" indent="2"/>
    </xf>
    <xf numFmtId="166" fontId="15" fillId="10" borderId="2" xfId="6" applyFont="1" applyFill="1" applyBorder="1" applyProtection="1">
      <protection locked="0"/>
    </xf>
    <xf numFmtId="166" fontId="22" fillId="10" borderId="22" xfId="7" applyFont="1" applyFill="1" applyBorder="1" applyAlignment="1" applyProtection="1">
      <alignment horizontal="left" vertical="center" indent="1"/>
      <protection locked="0"/>
    </xf>
    <xf numFmtId="166" fontId="15" fillId="10" borderId="22" xfId="5" applyFont="1" applyFill="1" applyBorder="1" applyAlignment="1" applyProtection="1">
      <alignment horizontal="left" vertical="center" indent="2"/>
      <protection locked="0"/>
    </xf>
    <xf numFmtId="166" fontId="15" fillId="10" borderId="29" xfId="5" applyFont="1" applyFill="1" applyBorder="1" applyAlignment="1" applyProtection="1">
      <alignment horizontal="left" vertical="center" indent="2"/>
      <protection locked="0"/>
    </xf>
    <xf numFmtId="166" fontId="15" fillId="10" borderId="29" xfId="5" applyFont="1" applyFill="1" applyBorder="1" applyAlignment="1">
      <alignment horizontal="left" vertical="center" indent="2"/>
    </xf>
    <xf numFmtId="166" fontId="15" fillId="10" borderId="7" xfId="6" applyFont="1" applyFill="1" applyBorder="1" applyProtection="1">
      <protection locked="0"/>
    </xf>
    <xf numFmtId="166" fontId="15" fillId="6" borderId="30" xfId="5" applyFont="1" applyFill="1" applyBorder="1" applyAlignment="1">
      <alignment wrapText="1"/>
    </xf>
    <xf numFmtId="166" fontId="15" fillId="6" borderId="30" xfId="6" applyFont="1" applyFill="1" applyBorder="1" applyProtection="1">
      <protection locked="0"/>
    </xf>
    <xf numFmtId="166" fontId="15" fillId="6" borderId="30" xfId="6" applyFont="1" applyFill="1" applyBorder="1" applyAlignment="1" applyProtection="1">
      <alignment horizontal="right" indent="1"/>
      <protection locked="0"/>
    </xf>
    <xf numFmtId="44" fontId="15" fillId="6" borderId="30" xfId="2" applyFont="1" applyFill="1" applyBorder="1" applyAlignment="1" applyProtection="1">
      <alignment horizontal="right" indent="1"/>
      <protection locked="0"/>
    </xf>
    <xf numFmtId="166" fontId="10" fillId="12" borderId="8" xfId="7" applyFont="1" applyFill="1" applyBorder="1"/>
    <xf numFmtId="166" fontId="10" fillId="12" borderId="9" xfId="7" applyFont="1" applyFill="1" applyBorder="1" applyAlignment="1" applyProtection="1">
      <alignment horizontal="center"/>
      <protection locked="0"/>
    </xf>
    <xf numFmtId="44" fontId="10" fillId="12" borderId="10" xfId="2" applyFont="1" applyFill="1" applyBorder="1" applyAlignment="1" applyProtection="1">
      <alignment horizontal="center"/>
      <protection locked="0"/>
    </xf>
    <xf numFmtId="166" fontId="17" fillId="10" borderId="22" xfId="7" applyFont="1" applyFill="1" applyBorder="1" applyAlignment="1">
      <alignment horizontal="left" vertical="center" wrapText="1" indent="2"/>
    </xf>
    <xf numFmtId="166" fontId="17" fillId="6" borderId="0" xfId="7" applyFont="1" applyFill="1" applyProtection="1">
      <protection locked="0"/>
    </xf>
    <xf numFmtId="166" fontId="16" fillId="6" borderId="21" xfId="5" applyFont="1" applyFill="1" applyBorder="1" applyAlignment="1" applyProtection="1">
      <alignment horizontal="left" vertical="center" wrapText="1" indent="2"/>
      <protection locked="0"/>
    </xf>
    <xf numFmtId="166" fontId="16" fillId="6" borderId="21" xfId="5" applyFont="1" applyFill="1" applyBorder="1" applyAlignment="1">
      <alignment horizontal="left" vertical="center" wrapText="1" indent="2"/>
    </xf>
    <xf numFmtId="6" fontId="17" fillId="10" borderId="31" xfId="7" applyNumberFormat="1" applyFont="1" applyFill="1" applyBorder="1" applyProtection="1">
      <protection locked="0"/>
    </xf>
    <xf numFmtId="166" fontId="17" fillId="10" borderId="28" xfId="7" applyFont="1" applyFill="1" applyBorder="1" applyAlignment="1">
      <alignment horizontal="left" vertical="center" wrapText="1" indent="2"/>
    </xf>
    <xf numFmtId="6" fontId="17" fillId="10" borderId="2" xfId="7" applyNumberFormat="1" applyFont="1" applyFill="1" applyBorder="1" applyProtection="1">
      <protection locked="0"/>
    </xf>
    <xf numFmtId="6" fontId="22" fillId="10" borderId="2" xfId="7" applyNumberFormat="1" applyFont="1" applyFill="1" applyBorder="1" applyAlignment="1" applyProtection="1">
      <alignment horizontal="right"/>
      <protection locked="0"/>
    </xf>
    <xf numFmtId="44" fontId="22" fillId="0" borderId="11" xfId="7" applyNumberFormat="1" applyFont="1" applyBorder="1" applyProtection="1">
      <protection locked="0"/>
    </xf>
    <xf numFmtId="166" fontId="22" fillId="10" borderId="8" xfId="7" applyFont="1" applyFill="1" applyBorder="1" applyAlignment="1">
      <alignment horizontal="left" vertical="center" wrapText="1" indent="1"/>
    </xf>
    <xf numFmtId="6" fontId="17" fillId="10" borderId="9" xfId="7" applyNumberFormat="1" applyFont="1" applyFill="1" applyBorder="1" applyProtection="1">
      <protection locked="0"/>
    </xf>
    <xf numFmtId="6" fontId="17" fillId="10" borderId="9" xfId="7" applyNumberFormat="1" applyFont="1" applyFill="1" applyBorder="1" applyAlignment="1" applyProtection="1">
      <alignment horizontal="right" indent="1"/>
      <protection locked="0"/>
    </xf>
    <xf numFmtId="44" fontId="17" fillId="10" borderId="14" xfId="2" applyFont="1" applyFill="1" applyBorder="1" applyAlignment="1" applyProtection="1">
      <alignment horizontal="right" indent="1"/>
      <protection locked="0"/>
    </xf>
    <xf numFmtId="3" fontId="8" fillId="6" borderId="0" xfId="0" applyNumberFormat="1" applyFont="1" applyFill="1" applyProtection="1">
      <protection locked="0"/>
    </xf>
    <xf numFmtId="166" fontId="17" fillId="10" borderId="22" xfId="7" applyFont="1" applyFill="1" applyBorder="1" applyAlignment="1">
      <alignment horizontal="left" vertical="center" indent="2"/>
    </xf>
    <xf numFmtId="44" fontId="17" fillId="9" borderId="11" xfId="2" applyFont="1" applyFill="1" applyBorder="1" applyAlignment="1" applyProtection="1">
      <alignment horizontal="right" indent="1"/>
      <protection locked="0"/>
    </xf>
    <xf numFmtId="44" fontId="7" fillId="6" borderId="0" xfId="0" applyNumberFormat="1" applyFont="1" applyFill="1" applyAlignment="1">
      <alignment vertical="center"/>
    </xf>
    <xf numFmtId="166" fontId="22" fillId="10" borderId="8" xfId="7" applyFont="1" applyFill="1" applyBorder="1" applyAlignment="1" applyProtection="1">
      <alignment horizontal="left" vertical="center" wrapText="1" indent="1"/>
      <protection locked="0"/>
    </xf>
    <xf numFmtId="166" fontId="17" fillId="10" borderId="22" xfId="7" applyFont="1" applyFill="1" applyBorder="1" applyAlignment="1" applyProtection="1">
      <alignment horizontal="left" vertical="center" wrapText="1" indent="2"/>
      <protection locked="0"/>
    </xf>
    <xf numFmtId="166" fontId="17" fillId="10" borderId="22" xfId="7" applyFont="1" applyFill="1" applyBorder="1" applyAlignment="1" applyProtection="1">
      <alignment horizontal="left" vertical="center" indent="2"/>
      <protection locked="0"/>
    </xf>
    <xf numFmtId="166" fontId="7" fillId="6" borderId="0" xfId="6" applyFont="1" applyFill="1"/>
    <xf numFmtId="6" fontId="22" fillId="10" borderId="2" xfId="7" applyNumberFormat="1" applyFont="1" applyFill="1" applyBorder="1" applyAlignment="1" applyProtection="1">
      <alignment horizontal="right" vertical="top"/>
      <protection locked="0"/>
    </xf>
    <xf numFmtId="0" fontId="19" fillId="6" borderId="0" xfId="0" applyFont="1" applyFill="1" applyProtection="1">
      <protection locked="0"/>
    </xf>
    <xf numFmtId="166" fontId="7" fillId="0" borderId="6" xfId="6" applyFont="1" applyBorder="1"/>
    <xf numFmtId="0" fontId="7" fillId="0" borderId="0" xfId="0" applyFont="1"/>
    <xf numFmtId="166" fontId="17" fillId="0" borderId="28" xfId="7" applyFont="1" applyBorder="1" applyAlignment="1">
      <alignment horizontal="left" vertical="center" indent="2"/>
    </xf>
    <xf numFmtId="6" fontId="17" fillId="0" borderId="2" xfId="7" applyNumberFormat="1" applyFont="1" applyBorder="1" applyProtection="1">
      <protection locked="0"/>
    </xf>
    <xf numFmtId="6" fontId="22" fillId="0" borderId="2" xfId="7" applyNumberFormat="1" applyFont="1" applyBorder="1" applyProtection="1">
      <protection locked="0"/>
    </xf>
    <xf numFmtId="8" fontId="22" fillId="0" borderId="14" xfId="7" applyNumberFormat="1" applyFont="1" applyBorder="1" applyProtection="1">
      <protection locked="0"/>
    </xf>
    <xf numFmtId="166" fontId="17" fillId="0" borderId="0" xfId="7" applyFont="1" applyProtection="1">
      <protection locked="0"/>
    </xf>
    <xf numFmtId="0" fontId="19" fillId="0" borderId="0" xfId="0" applyFont="1" applyProtection="1">
      <protection locked="0"/>
    </xf>
    <xf numFmtId="166" fontId="10" fillId="13" borderId="8" xfId="7" applyFont="1" applyFill="1" applyBorder="1"/>
    <xf numFmtId="166" fontId="10" fillId="13" borderId="9" xfId="7" applyFont="1" applyFill="1" applyBorder="1" applyAlignment="1" applyProtection="1">
      <alignment horizontal="center"/>
      <protection locked="0"/>
    </xf>
    <xf numFmtId="44" fontId="10" fillId="13" borderId="10" xfId="2" applyFont="1" applyFill="1" applyBorder="1" applyAlignment="1" applyProtection="1">
      <alignment horizontal="center"/>
      <protection locked="0"/>
    </xf>
    <xf numFmtId="166" fontId="17" fillId="10" borderId="22" xfId="7" applyFont="1" applyFill="1" applyBorder="1" applyAlignment="1">
      <alignment horizontal="left" vertical="center" indent="1"/>
    </xf>
    <xf numFmtId="9" fontId="15" fillId="9" borderId="11" xfId="5" applyNumberFormat="1" applyFont="1" applyFill="1" applyBorder="1" applyAlignment="1" applyProtection="1">
      <alignment horizontal="right" indent="1"/>
      <protection locked="0"/>
    </xf>
    <xf numFmtId="44" fontId="7" fillId="10" borderId="31" xfId="2" applyFont="1" applyFill="1" applyBorder="1" applyProtection="1">
      <protection locked="0"/>
    </xf>
    <xf numFmtId="3" fontId="15" fillId="10" borderId="2" xfId="5" applyNumberFormat="1" applyFont="1" applyFill="1" applyBorder="1" applyAlignment="1" applyProtection="1">
      <alignment horizontal="right" indent="1"/>
      <protection locked="0"/>
    </xf>
    <xf numFmtId="167" fontId="15" fillId="9" borderId="11" xfId="5" applyNumberFormat="1" applyFont="1" applyFill="1" applyBorder="1" applyAlignment="1" applyProtection="1">
      <alignment horizontal="right" indent="1"/>
      <protection locked="0"/>
    </xf>
    <xf numFmtId="44" fontId="15" fillId="9" borderId="32" xfId="2" applyFont="1" applyFill="1" applyBorder="1" applyAlignment="1" applyProtection="1">
      <alignment horizontal="right" indent="1"/>
      <protection locked="0"/>
    </xf>
    <xf numFmtId="166" fontId="15" fillId="10" borderId="31" xfId="6" applyFont="1" applyFill="1" applyBorder="1" applyProtection="1">
      <protection locked="0"/>
    </xf>
    <xf numFmtId="166" fontId="17" fillId="10" borderId="15" xfId="7" applyFont="1" applyFill="1" applyBorder="1" applyAlignment="1">
      <alignment horizontal="left" vertical="center" indent="2"/>
    </xf>
    <xf numFmtId="166" fontId="15" fillId="10" borderId="33" xfId="6" applyFont="1" applyFill="1" applyBorder="1" applyProtection="1">
      <protection locked="0"/>
    </xf>
    <xf numFmtId="6" fontId="22" fillId="10" borderId="32" xfId="7" applyNumberFormat="1" applyFont="1" applyFill="1" applyBorder="1" applyAlignment="1" applyProtection="1">
      <alignment horizontal="right" vertical="top"/>
      <protection locked="0"/>
    </xf>
    <xf numFmtId="166" fontId="7" fillId="6" borderId="0" xfId="6" applyFont="1" applyFill="1" applyAlignment="1" applyProtection="1">
      <alignment horizontal="right" indent="1"/>
      <protection locked="0"/>
    </xf>
    <xf numFmtId="44" fontId="7" fillId="6" borderId="0" xfId="2" applyFont="1" applyFill="1" applyBorder="1" applyAlignment="1" applyProtection="1">
      <alignment horizontal="right" indent="1"/>
      <protection locked="0"/>
    </xf>
    <xf numFmtId="166" fontId="8" fillId="6" borderId="0" xfId="6" applyFont="1" applyFill="1"/>
    <xf numFmtId="164" fontId="7" fillId="6" borderId="0" xfId="1" applyNumberFormat="1" applyFont="1" applyFill="1" applyBorder="1" applyProtection="1">
      <protection locked="0"/>
    </xf>
    <xf numFmtId="166" fontId="14" fillId="12" borderId="8" xfId="5" applyFont="1" applyFill="1" applyBorder="1" applyAlignment="1">
      <alignment vertical="center" wrapText="1"/>
    </xf>
    <xf numFmtId="166" fontId="13" fillId="12" borderId="9" xfId="5" applyFont="1" applyFill="1" applyBorder="1" applyAlignment="1" applyProtection="1">
      <alignment horizontal="center" vertical="center" wrapText="1"/>
      <protection locked="0"/>
    </xf>
    <xf numFmtId="166" fontId="13" fillId="12" borderId="10" xfId="5" applyFont="1" applyFill="1" applyBorder="1" applyAlignment="1" applyProtection="1">
      <alignment horizontal="center" vertical="center" wrapText="1"/>
      <protection locked="0"/>
    </xf>
    <xf numFmtId="166" fontId="15" fillId="10" borderId="5" xfId="0" applyNumberFormat="1" applyFont="1" applyFill="1" applyBorder="1" applyAlignment="1">
      <alignment horizontal="left" vertical="center" wrapText="1" indent="1"/>
    </xf>
    <xf numFmtId="3" fontId="15" fillId="0" borderId="13" xfId="0" applyNumberFormat="1" applyFont="1" applyBorder="1" applyAlignment="1">
      <alignment horizontal="right" vertical="center" indent="1"/>
    </xf>
    <xf numFmtId="0" fontId="19" fillId="6" borderId="0" xfId="0" applyFont="1" applyFill="1"/>
    <xf numFmtId="166" fontId="25" fillId="10" borderId="5" xfId="0" applyNumberFormat="1" applyFont="1" applyFill="1" applyBorder="1" applyAlignment="1">
      <alignment horizontal="left" vertical="center" indent="1"/>
    </xf>
    <xf numFmtId="166" fontId="8" fillId="6" borderId="4" xfId="4" applyFont="1" applyFill="1" applyBorder="1" applyAlignment="1">
      <alignment horizontal="center"/>
    </xf>
    <xf numFmtId="166" fontId="7" fillId="6" borderId="4" xfId="4" applyFont="1" applyFill="1" applyBorder="1" applyAlignment="1">
      <alignment horizontal="left"/>
    </xf>
    <xf numFmtId="166" fontId="7" fillId="6" borderId="14" xfId="4" applyFont="1" applyFill="1" applyBorder="1"/>
    <xf numFmtId="0" fontId="8" fillId="0" borderId="0" xfId="0" applyFont="1"/>
    <xf numFmtId="166" fontId="7" fillId="6" borderId="0" xfId="4" applyFont="1" applyFill="1" applyAlignment="1">
      <alignment horizontal="center"/>
    </xf>
    <xf numFmtId="166" fontId="7" fillId="6" borderId="0" xfId="4" applyFont="1" applyFill="1" applyAlignment="1">
      <alignment horizontal="left"/>
    </xf>
    <xf numFmtId="166" fontId="27" fillId="6" borderId="0" xfId="4" applyFont="1" applyFill="1" applyAlignment="1">
      <alignment horizontal="left"/>
    </xf>
    <xf numFmtId="166" fontId="7" fillId="6" borderId="1" xfId="4" applyFont="1" applyFill="1" applyBorder="1" applyAlignment="1">
      <alignment horizontal="center"/>
    </xf>
    <xf numFmtId="166" fontId="7" fillId="6" borderId="1" xfId="4" applyFont="1" applyFill="1" applyBorder="1"/>
    <xf numFmtId="166" fontId="7" fillId="6" borderId="1" xfId="4" applyFont="1" applyFill="1" applyBorder="1" applyAlignment="1">
      <alignment horizontal="left"/>
    </xf>
    <xf numFmtId="166" fontId="7" fillId="6" borderId="1" xfId="4" applyFont="1" applyFill="1" applyBorder="1" applyAlignment="1">
      <alignment horizontal="right" indent="1"/>
    </xf>
    <xf numFmtId="0" fontId="7" fillId="6" borderId="1" xfId="0" applyFont="1" applyFill="1" applyBorder="1"/>
    <xf numFmtId="0" fontId="7" fillId="6" borderId="26" xfId="0" applyFont="1" applyFill="1" applyBorder="1"/>
    <xf numFmtId="166" fontId="7" fillId="6" borderId="2" xfId="4" applyFont="1" applyFill="1" applyBorder="1" applyAlignment="1">
      <alignment horizontal="center"/>
    </xf>
    <xf numFmtId="166" fontId="7" fillId="6" borderId="0" xfId="4" applyFont="1" applyFill="1" applyAlignment="1">
      <alignment horizontal="left" indent="1"/>
    </xf>
    <xf numFmtId="0" fontId="7" fillId="6" borderId="2" xfId="0" applyFont="1" applyFill="1" applyBorder="1"/>
    <xf numFmtId="0" fontId="7" fillId="6" borderId="27" xfId="0" applyFont="1" applyFill="1" applyBorder="1"/>
    <xf numFmtId="0" fontId="7" fillId="6" borderId="0" xfId="0" applyFont="1" applyFill="1" applyAlignment="1">
      <alignment horizontal="center"/>
    </xf>
    <xf numFmtId="0" fontId="28" fillId="6" borderId="0" xfId="0" applyFont="1" applyFill="1" applyAlignment="1">
      <alignment horizontal="left" vertical="top"/>
    </xf>
    <xf numFmtId="0" fontId="29" fillId="6" borderId="0" xfId="0" applyFont="1" applyFill="1" applyAlignment="1">
      <alignment horizontal="left" vertical="top"/>
    </xf>
    <xf numFmtId="0" fontId="7" fillId="6" borderId="0" xfId="0" applyFont="1" applyFill="1" applyAlignment="1">
      <alignment horizontal="left"/>
    </xf>
    <xf numFmtId="0" fontId="7" fillId="6" borderId="14" xfId="0" applyFont="1" applyFill="1" applyBorder="1" applyProtection="1">
      <protection locked="0"/>
    </xf>
    <xf numFmtId="166" fontId="19" fillId="6" borderId="1" xfId="4" applyFont="1" applyFill="1" applyBorder="1"/>
    <xf numFmtId="166" fontId="8" fillId="6" borderId="0" xfId="4" applyFont="1" applyFill="1" applyAlignment="1">
      <alignment horizontal="center" wrapText="1"/>
    </xf>
    <xf numFmtId="166" fontId="10" fillId="8" borderId="8" xfId="8" applyFont="1" applyFill="1" applyBorder="1" applyAlignment="1">
      <alignment horizontal="center" vertical="center"/>
    </xf>
    <xf numFmtId="166" fontId="10" fillId="8" borderId="9" xfId="8" applyFont="1" applyFill="1" applyBorder="1" applyAlignment="1">
      <alignment horizontal="center" vertical="center"/>
    </xf>
    <xf numFmtId="0" fontId="10" fillId="8" borderId="9" xfId="7" applyNumberFormat="1" applyFont="1" applyFill="1" applyBorder="1" applyAlignment="1">
      <alignment horizontal="center" vertical="center"/>
    </xf>
    <xf numFmtId="0" fontId="30" fillId="14" borderId="34" xfId="0" applyFont="1" applyFill="1" applyBorder="1" applyAlignment="1">
      <alignment horizontal="center" vertical="center"/>
    </xf>
    <xf numFmtId="166" fontId="13" fillId="12" borderId="6" xfId="8" applyFont="1" applyFill="1" applyBorder="1" applyAlignment="1">
      <alignment horizontal="left" vertical="center" indent="1"/>
    </xf>
    <xf numFmtId="166" fontId="13" fillId="12" borderId="0" xfId="8" applyFont="1" applyFill="1" applyAlignment="1">
      <alignment horizontal="left" vertical="center" indent="1"/>
    </xf>
    <xf numFmtId="3" fontId="10" fillId="12" borderId="1" xfId="7" applyNumberFormat="1" applyFont="1" applyFill="1" applyBorder="1" applyAlignment="1">
      <alignment horizontal="left"/>
    </xf>
    <xf numFmtId="3" fontId="10" fillId="12" borderId="25" xfId="7" applyNumberFormat="1" applyFont="1" applyFill="1" applyBorder="1" applyAlignment="1">
      <alignment horizontal="left"/>
    </xf>
    <xf numFmtId="3" fontId="10" fillId="12" borderId="35" xfId="7" applyNumberFormat="1" applyFont="1" applyFill="1" applyBorder="1" applyAlignment="1">
      <alignment horizontal="left"/>
    </xf>
    <xf numFmtId="166" fontId="25" fillId="6" borderId="22" xfId="8" applyFont="1" applyFill="1" applyBorder="1" applyAlignment="1">
      <alignment horizontal="left" indent="2"/>
    </xf>
    <xf numFmtId="166" fontId="25" fillId="6" borderId="25" xfId="8" applyFont="1" applyFill="1" applyBorder="1" applyAlignment="1">
      <alignment horizontal="left" indent="2"/>
    </xf>
    <xf numFmtId="42" fontId="25" fillId="6" borderId="25" xfId="2" applyNumberFormat="1" applyFont="1" applyFill="1" applyBorder="1" applyAlignment="1">
      <alignment horizontal="left"/>
    </xf>
    <xf numFmtId="165" fontId="21" fillId="14" borderId="35" xfId="0" applyNumberFormat="1" applyFont="1" applyFill="1" applyBorder="1" applyAlignment="1">
      <alignment horizontal="left"/>
    </xf>
    <xf numFmtId="166" fontId="25" fillId="6" borderId="25" xfId="8" applyFont="1" applyFill="1" applyBorder="1" applyAlignment="1">
      <alignment horizontal="right" indent="2"/>
    </xf>
    <xf numFmtId="165" fontId="25" fillId="6" borderId="25" xfId="2" applyNumberFormat="1" applyFont="1" applyFill="1" applyBorder="1" applyAlignment="1">
      <alignment horizontal="left"/>
    </xf>
    <xf numFmtId="166" fontId="25" fillId="6" borderId="28" xfId="8" applyFont="1" applyFill="1" applyBorder="1" applyAlignment="1">
      <alignment horizontal="left" indent="2"/>
    </xf>
    <xf numFmtId="166" fontId="25" fillId="6" borderId="2" xfId="8" applyFont="1" applyFill="1" applyBorder="1" applyAlignment="1">
      <alignment horizontal="left" indent="2"/>
    </xf>
    <xf numFmtId="42" fontId="25" fillId="6" borderId="2" xfId="2" applyNumberFormat="1" applyFont="1" applyFill="1" applyBorder="1" applyAlignment="1">
      <alignment horizontal="left"/>
    </xf>
    <xf numFmtId="165" fontId="21" fillId="14" borderId="36" xfId="0" applyNumberFormat="1" applyFont="1" applyFill="1" applyBorder="1" applyAlignment="1">
      <alignment horizontal="left"/>
    </xf>
    <xf numFmtId="166" fontId="15" fillId="6" borderId="6" xfId="8" applyFont="1" applyFill="1" applyBorder="1" applyAlignment="1">
      <alignment horizontal="left" indent="4"/>
    </xf>
    <xf numFmtId="166" fontId="15" fillId="6" borderId="0" xfId="8" applyFont="1" applyFill="1" applyAlignment="1">
      <alignment horizontal="left" indent="4"/>
    </xf>
    <xf numFmtId="42" fontId="15" fillId="6" borderId="0" xfId="2" applyNumberFormat="1" applyFont="1" applyFill="1" applyBorder="1" applyAlignment="1">
      <alignment horizontal="left"/>
    </xf>
    <xf numFmtId="165" fontId="7" fillId="14" borderId="37" xfId="0" applyNumberFormat="1" applyFont="1" applyFill="1" applyBorder="1" applyAlignment="1">
      <alignment horizontal="left"/>
    </xf>
    <xf numFmtId="166" fontId="15" fillId="6" borderId="6" xfId="8" applyFont="1" applyFill="1" applyBorder="1" applyAlignment="1" applyProtection="1">
      <alignment horizontal="left" indent="4"/>
      <protection locked="0"/>
    </xf>
    <xf numFmtId="166" fontId="15" fillId="6" borderId="5" xfId="8" applyFont="1" applyFill="1" applyBorder="1" applyAlignment="1" applyProtection="1">
      <alignment horizontal="left" indent="4"/>
      <protection locked="0"/>
    </xf>
    <xf numFmtId="166" fontId="15" fillId="6" borderId="1" xfId="8" applyFont="1" applyFill="1" applyBorder="1" applyAlignment="1">
      <alignment horizontal="left" indent="4"/>
    </xf>
    <xf numFmtId="42" fontId="15" fillId="6" borderId="1" xfId="2" applyNumberFormat="1" applyFont="1" applyFill="1" applyBorder="1" applyAlignment="1">
      <alignment horizontal="left"/>
    </xf>
    <xf numFmtId="165" fontId="7" fillId="14" borderId="38" xfId="0" applyNumberFormat="1" applyFont="1" applyFill="1" applyBorder="1" applyAlignment="1">
      <alignment horizontal="left"/>
    </xf>
    <xf numFmtId="166" fontId="25" fillId="6" borderId="6" xfId="8" applyFont="1" applyFill="1" applyBorder="1" applyAlignment="1">
      <alignment horizontal="left" indent="2"/>
    </xf>
    <xf numFmtId="166" fontId="25" fillId="6" borderId="0" xfId="8" applyFont="1" applyFill="1" applyAlignment="1">
      <alignment horizontal="left" indent="2"/>
    </xf>
    <xf numFmtId="42" fontId="25" fillId="6" borderId="0" xfId="2" applyNumberFormat="1" applyFont="1" applyFill="1" applyBorder="1" applyAlignment="1">
      <alignment horizontal="left"/>
    </xf>
    <xf numFmtId="165" fontId="21" fillId="14" borderId="37" xfId="0" applyNumberFormat="1" applyFont="1" applyFill="1" applyBorder="1" applyAlignment="1">
      <alignment horizontal="left"/>
    </xf>
    <xf numFmtId="165" fontId="21" fillId="14" borderId="38" xfId="0" applyNumberFormat="1" applyFont="1" applyFill="1" applyBorder="1" applyAlignment="1">
      <alignment horizontal="left"/>
    </xf>
    <xf numFmtId="42" fontId="15" fillId="6" borderId="2" xfId="2" applyNumberFormat="1" applyFont="1" applyFill="1" applyBorder="1" applyAlignment="1">
      <alignment horizontal="left"/>
    </xf>
    <xf numFmtId="165" fontId="7" fillId="14" borderId="35" xfId="0" applyNumberFormat="1" applyFont="1" applyFill="1" applyBorder="1" applyAlignment="1">
      <alignment horizontal="left"/>
    </xf>
    <xf numFmtId="166" fontId="25" fillId="6" borderId="39" xfId="8" applyFont="1" applyFill="1" applyBorder="1" applyAlignment="1">
      <alignment horizontal="left" indent="1"/>
    </xf>
    <xf numFmtId="166" fontId="25" fillId="6" borderId="40" xfId="8" applyFont="1" applyFill="1" applyBorder="1" applyAlignment="1">
      <alignment horizontal="left" indent="1"/>
    </xf>
    <xf numFmtId="42" fontId="21" fillId="6" borderId="40" xfId="2" applyNumberFormat="1" applyFont="1" applyFill="1" applyBorder="1" applyAlignment="1">
      <alignment horizontal="left"/>
    </xf>
    <xf numFmtId="165" fontId="21" fillId="14" borderId="41" xfId="0" applyNumberFormat="1" applyFont="1" applyFill="1" applyBorder="1" applyAlignment="1">
      <alignment horizontal="left"/>
    </xf>
    <xf numFmtId="166" fontId="7" fillId="6" borderId="5" xfId="8" applyFont="1" applyFill="1" applyBorder="1"/>
    <xf numFmtId="166" fontId="7" fillId="6" borderId="1" xfId="8" applyFont="1" applyFill="1" applyBorder="1"/>
    <xf numFmtId="166" fontId="7" fillId="6" borderId="1" xfId="8" applyFont="1" applyFill="1" applyBorder="1" applyAlignment="1">
      <alignment horizontal="left"/>
    </xf>
    <xf numFmtId="168" fontId="7" fillId="6" borderId="1" xfId="8" applyNumberFormat="1" applyFont="1" applyFill="1" applyBorder="1" applyAlignment="1">
      <alignment horizontal="left"/>
    </xf>
    <xf numFmtId="0" fontId="7" fillId="6" borderId="42" xfId="0" applyFont="1" applyFill="1" applyBorder="1" applyAlignment="1">
      <alignment horizontal="left"/>
    </xf>
    <xf numFmtId="44" fontId="10" fillId="12" borderId="0" xfId="7" applyNumberFormat="1" applyFont="1" applyFill="1" applyAlignment="1">
      <alignment horizontal="left"/>
    </xf>
    <xf numFmtId="44" fontId="10" fillId="12" borderId="37" xfId="7" applyNumberFormat="1" applyFont="1" applyFill="1" applyBorder="1" applyAlignment="1">
      <alignment horizontal="left"/>
    </xf>
    <xf numFmtId="165" fontId="15" fillId="6" borderId="25" xfId="2" applyNumberFormat="1" applyFont="1" applyFill="1" applyBorder="1" applyAlignment="1">
      <alignment horizontal="left"/>
    </xf>
    <xf numFmtId="166" fontId="22" fillId="6" borderId="22" xfId="8" applyFont="1" applyFill="1" applyBorder="1" applyAlignment="1">
      <alignment horizontal="left" indent="2"/>
    </xf>
    <xf numFmtId="166" fontId="22" fillId="6" borderId="22" xfId="8" applyFont="1" applyFill="1" applyBorder="1" applyAlignment="1" applyProtection="1">
      <alignment horizontal="left" indent="2"/>
      <protection locked="0"/>
    </xf>
    <xf numFmtId="165" fontId="21" fillId="6" borderId="40" xfId="2" applyNumberFormat="1" applyFont="1" applyFill="1" applyBorder="1" applyAlignment="1">
      <alignment horizontal="left"/>
    </xf>
    <xf numFmtId="165" fontId="21" fillId="6" borderId="40" xfId="2" applyNumberFormat="1" applyFont="1" applyFill="1" applyBorder="1" applyAlignment="1">
      <alignment horizontal="left" indent="1"/>
    </xf>
    <xf numFmtId="166" fontId="7" fillId="6" borderId="6" xfId="8" applyFont="1" applyFill="1" applyBorder="1"/>
    <xf numFmtId="166" fontId="7" fillId="6" borderId="0" xfId="8" applyFont="1" applyFill="1"/>
    <xf numFmtId="165" fontId="7" fillId="6" borderId="0" xfId="2" applyNumberFormat="1" applyFont="1" applyFill="1" applyBorder="1" applyAlignment="1">
      <alignment horizontal="left"/>
    </xf>
    <xf numFmtId="0" fontId="7" fillId="6" borderId="37" xfId="0" applyFont="1" applyFill="1" applyBorder="1" applyAlignment="1">
      <alignment horizontal="left"/>
    </xf>
    <xf numFmtId="166" fontId="10" fillId="8" borderId="29" xfId="8" applyFont="1" applyFill="1" applyBorder="1" applyAlignment="1">
      <alignment vertical="center"/>
    </xf>
    <xf numFmtId="166" fontId="10" fillId="8" borderId="7" xfId="8" applyFont="1" applyFill="1" applyBorder="1" applyAlignment="1">
      <alignment vertical="center"/>
    </xf>
    <xf numFmtId="165" fontId="31" fillId="15" borderId="7" xfId="2" applyNumberFormat="1" applyFont="1" applyFill="1" applyBorder="1" applyAlignment="1">
      <alignment horizontal="left" vertical="center"/>
    </xf>
    <xf numFmtId="165" fontId="32" fillId="15" borderId="43" xfId="0" applyNumberFormat="1" applyFont="1" applyFill="1" applyBorder="1" applyAlignment="1">
      <alignment horizontal="left"/>
    </xf>
    <xf numFmtId="166" fontId="10" fillId="8" borderId="44" xfId="8" applyFont="1" applyFill="1" applyBorder="1" applyAlignment="1">
      <alignment vertical="center"/>
    </xf>
    <xf numFmtId="166" fontId="10" fillId="8" borderId="25" xfId="8" applyFont="1" applyFill="1" applyBorder="1" applyAlignment="1">
      <alignment vertical="center"/>
    </xf>
    <xf numFmtId="8" fontId="31" fillId="15" borderId="25" xfId="2" applyNumberFormat="1" applyFont="1" applyFill="1" applyBorder="1" applyAlignment="1">
      <alignment horizontal="center" vertical="center"/>
    </xf>
    <xf numFmtId="8" fontId="31" fillId="15" borderId="45" xfId="2" applyNumberFormat="1" applyFont="1" applyFill="1" applyBorder="1" applyAlignment="1">
      <alignment horizontal="center" vertical="center"/>
    </xf>
    <xf numFmtId="0" fontId="30" fillId="14" borderId="34" xfId="0" applyFont="1" applyFill="1" applyBorder="1" applyAlignment="1">
      <alignment horizontal="center" vertical="center" wrapText="1"/>
    </xf>
    <xf numFmtId="166" fontId="15" fillId="6" borderId="28" xfId="0" applyNumberFormat="1" applyFont="1" applyFill="1" applyBorder="1" applyAlignment="1">
      <alignment horizontal="left" vertical="center" indent="2"/>
    </xf>
    <xf numFmtId="166" fontId="15" fillId="6" borderId="2" xfId="0" applyNumberFormat="1" applyFont="1" applyFill="1" applyBorder="1" applyAlignment="1">
      <alignment horizontal="left" vertical="center" indent="2"/>
    </xf>
    <xf numFmtId="42" fontId="15" fillId="6" borderId="27" xfId="2" applyNumberFormat="1" applyFont="1" applyFill="1" applyBorder="1" applyAlignment="1">
      <alignment horizontal="left"/>
    </xf>
    <xf numFmtId="9" fontId="7" fillId="14" borderId="35" xfId="0" applyNumberFormat="1" applyFont="1" applyFill="1" applyBorder="1"/>
    <xf numFmtId="166" fontId="15" fillId="6" borderId="22" xfId="0" applyNumberFormat="1" applyFont="1" applyFill="1" applyBorder="1" applyAlignment="1">
      <alignment horizontal="left" vertical="center" indent="2"/>
    </xf>
    <xf numFmtId="166" fontId="15" fillId="6" borderId="25" xfId="0" applyNumberFormat="1" applyFont="1" applyFill="1" applyBorder="1" applyAlignment="1">
      <alignment horizontal="left" vertical="center" indent="2"/>
    </xf>
    <xf numFmtId="42" fontId="15" fillId="6" borderId="25" xfId="2" applyNumberFormat="1" applyFont="1" applyFill="1" applyBorder="1" applyAlignment="1">
      <alignment horizontal="left"/>
    </xf>
    <xf numFmtId="42" fontId="15" fillId="6" borderId="31" xfId="2" applyNumberFormat="1" applyFont="1" applyFill="1" applyBorder="1" applyAlignment="1">
      <alignment horizontal="left"/>
    </xf>
    <xf numFmtId="165" fontId="31" fillId="6" borderId="7" xfId="2" applyNumberFormat="1" applyFont="1" applyFill="1" applyBorder="1" applyAlignment="1">
      <alignment horizontal="left" vertical="center"/>
    </xf>
    <xf numFmtId="165" fontId="31" fillId="6" borderId="46" xfId="2" applyNumberFormat="1" applyFont="1" applyFill="1" applyBorder="1" applyAlignment="1">
      <alignment horizontal="left" vertical="center"/>
    </xf>
    <xf numFmtId="165" fontId="21" fillId="15" borderId="41" xfId="0" applyNumberFormat="1" applyFont="1" applyFill="1" applyBorder="1" applyAlignment="1">
      <alignment horizontal="left"/>
    </xf>
    <xf numFmtId="9" fontId="21" fillId="14" borderId="41" xfId="0" applyNumberFormat="1" applyFont="1" applyFill="1" applyBorder="1"/>
    <xf numFmtId="3" fontId="12" fillId="6" borderId="0" xfId="0" applyNumberFormat="1" applyFont="1" applyFill="1" applyProtection="1">
      <protection locked="0"/>
    </xf>
    <xf numFmtId="166" fontId="7" fillId="6" borderId="14" xfId="4" applyFont="1" applyFill="1" applyBorder="1" applyProtection="1">
      <protection locked="0"/>
    </xf>
    <xf numFmtId="0" fontId="7" fillId="6" borderId="33" xfId="0" applyFont="1" applyFill="1" applyBorder="1" applyAlignment="1">
      <alignment horizontal="center"/>
    </xf>
    <xf numFmtId="0" fontId="7" fillId="6" borderId="33" xfId="0" applyFont="1" applyFill="1" applyBorder="1"/>
    <xf numFmtId="0" fontId="7" fillId="6" borderId="33" xfId="0" applyFont="1" applyFill="1" applyBorder="1" applyAlignment="1">
      <alignment horizontal="left"/>
    </xf>
    <xf numFmtId="0" fontId="7" fillId="6" borderId="33" xfId="0" applyFont="1" applyFill="1" applyBorder="1" applyAlignment="1" applyProtection="1">
      <alignment horizontal="center"/>
      <protection locked="0"/>
    </xf>
    <xf numFmtId="0" fontId="7" fillId="6" borderId="33" xfId="0" applyFont="1" applyFill="1" applyBorder="1" applyProtection="1">
      <protection locked="0"/>
    </xf>
    <xf numFmtId="0" fontId="7" fillId="6" borderId="16" xfId="0" applyFont="1" applyFill="1" applyBorder="1" applyProtection="1">
      <protection locked="0"/>
    </xf>
    <xf numFmtId="0" fontId="7" fillId="6" borderId="14" xfId="0" applyFont="1" applyFill="1" applyBorder="1"/>
    <xf numFmtId="0" fontId="8" fillId="0" borderId="0" xfId="0" applyFont="1" applyAlignment="1">
      <alignment horizontal="left"/>
    </xf>
    <xf numFmtId="165" fontId="7" fillId="14" borderId="36" xfId="0" applyNumberFormat="1" applyFont="1" applyFill="1" applyBorder="1" applyAlignment="1">
      <alignment horizontal="left"/>
    </xf>
    <xf numFmtId="166" fontId="15" fillId="6" borderId="5" xfId="8" applyFont="1" applyFill="1" applyBorder="1" applyAlignment="1">
      <alignment horizontal="left" indent="4"/>
    </xf>
    <xf numFmtId="166" fontId="25" fillId="6" borderId="22" xfId="8" applyFont="1" applyFill="1" applyBorder="1" applyAlignment="1">
      <alignment horizontal="left" indent="1"/>
    </xf>
    <xf numFmtId="8" fontId="31" fillId="15" borderId="25" xfId="2" applyNumberFormat="1" applyFont="1" applyFill="1" applyBorder="1" applyAlignment="1">
      <alignment horizontal="left" vertical="center"/>
    </xf>
    <xf numFmtId="0" fontId="1" fillId="0" borderId="0" xfId="0" applyFont="1"/>
    <xf numFmtId="0" fontId="0" fillId="0" borderId="0" xfId="0" applyAlignment="1">
      <alignment wrapText="1"/>
    </xf>
    <xf numFmtId="0" fontId="1" fillId="0" borderId="0" xfId="0" applyFont="1" applyAlignment="1">
      <alignment wrapText="1"/>
    </xf>
    <xf numFmtId="0" fontId="0" fillId="0" borderId="0" xfId="0" applyAlignment="1">
      <alignment horizontal="left" indent="1"/>
    </xf>
    <xf numFmtId="0" fontId="1" fillId="16" borderId="0" xfId="0" applyFont="1" applyFill="1"/>
    <xf numFmtId="0" fontId="1" fillId="16" borderId="0" xfId="0" applyFont="1" applyFill="1" applyAlignment="1">
      <alignment wrapText="1"/>
    </xf>
    <xf numFmtId="0" fontId="0" fillId="0" borderId="1" xfId="0" applyBorder="1"/>
    <xf numFmtId="0" fontId="0" fillId="0" borderId="1" xfId="0" applyBorder="1" applyAlignment="1">
      <alignment wrapText="1"/>
    </xf>
    <xf numFmtId="0" fontId="0" fillId="0" borderId="2" xfId="0" applyBorder="1"/>
    <xf numFmtId="0" fontId="0" fillId="0" borderId="2" xfId="0" applyBorder="1" applyAlignment="1">
      <alignment wrapText="1"/>
    </xf>
    <xf numFmtId="0" fontId="0" fillId="0" borderId="25" xfId="0" applyBorder="1" applyAlignment="1">
      <alignment horizontal="left"/>
    </xf>
    <xf numFmtId="0" fontId="0" fillId="0" borderId="25" xfId="0" applyBorder="1" applyAlignment="1">
      <alignment wrapText="1"/>
    </xf>
    <xf numFmtId="0" fontId="1" fillId="0" borderId="1" xfId="0" applyFont="1" applyBorder="1" applyAlignment="1">
      <alignment wrapText="1"/>
    </xf>
    <xf numFmtId="0" fontId="1" fillId="0" borderId="25" xfId="0" applyFont="1" applyBorder="1" applyAlignment="1">
      <alignment wrapText="1"/>
    </xf>
    <xf numFmtId="0" fontId="35" fillId="0" borderId="25" xfId="0" applyFont="1" applyBorder="1"/>
    <xf numFmtId="0" fontId="34" fillId="2" borderId="0" xfId="0" applyFont="1" applyFill="1"/>
    <xf numFmtId="0" fontId="1" fillId="18" borderId="0" xfId="0" applyFont="1" applyFill="1"/>
    <xf numFmtId="0" fontId="1" fillId="20" borderId="0" xfId="0" applyFont="1" applyFill="1"/>
    <xf numFmtId="0" fontId="1" fillId="19" borderId="0" xfId="0" applyFont="1" applyFill="1"/>
    <xf numFmtId="0" fontId="1" fillId="0" borderId="0" xfId="0" applyFont="1" applyAlignment="1">
      <alignment horizontal="left"/>
    </xf>
    <xf numFmtId="0" fontId="1" fillId="19" borderId="0" xfId="0" applyFont="1" applyFill="1" applyAlignment="1">
      <alignment horizontal="left"/>
    </xf>
    <xf numFmtId="0" fontId="1" fillId="20" borderId="0" xfId="0" applyFont="1" applyFill="1" applyAlignment="1">
      <alignment horizontal="left"/>
    </xf>
    <xf numFmtId="0" fontId="0" fillId="21" borderId="0" xfId="0" applyFill="1" applyAlignment="1">
      <alignment horizontal="left" indent="1"/>
    </xf>
    <xf numFmtId="0" fontId="0" fillId="16" borderId="0" xfId="0" applyFill="1" applyAlignment="1">
      <alignment horizontal="left" indent="1"/>
    </xf>
    <xf numFmtId="0" fontId="0" fillId="16" borderId="0" xfId="0" applyFill="1" applyAlignment="1">
      <alignment horizontal="left" indent="2"/>
    </xf>
    <xf numFmtId="0" fontId="0" fillId="5" borderId="0" xfId="0" applyFill="1" applyAlignment="1">
      <alignment horizontal="left" indent="1"/>
    </xf>
    <xf numFmtId="0" fontId="0" fillId="21" borderId="0" xfId="0" applyFill="1" applyAlignment="1">
      <alignment horizontal="left" indent="2"/>
    </xf>
    <xf numFmtId="0" fontId="0" fillId="22" borderId="0" xfId="0" applyFill="1" applyAlignment="1">
      <alignment horizontal="left" indent="1"/>
    </xf>
    <xf numFmtId="0" fontId="0" fillId="23" borderId="0" xfId="0" applyFill="1"/>
    <xf numFmtId="0" fontId="0" fillId="24" borderId="0" xfId="0" applyFill="1" applyAlignment="1">
      <alignment horizontal="left" indent="1"/>
    </xf>
    <xf numFmtId="0" fontId="0" fillId="25" borderId="0" xfId="0" applyFill="1" applyAlignment="1">
      <alignment horizontal="left" indent="2"/>
    </xf>
    <xf numFmtId="0" fontId="0" fillId="25" borderId="0" xfId="0" applyFill="1" applyAlignment="1">
      <alignment horizontal="left" indent="1"/>
    </xf>
    <xf numFmtId="0" fontId="1" fillId="26" borderId="0" xfId="0" applyFont="1" applyFill="1"/>
    <xf numFmtId="0" fontId="0" fillId="26" borderId="0" xfId="0" applyFill="1"/>
    <xf numFmtId="0" fontId="36" fillId="28" borderId="3" xfId="0" applyFont="1" applyFill="1" applyBorder="1" applyAlignment="1">
      <alignment horizontal="center" vertical="center"/>
    </xf>
    <xf numFmtId="0" fontId="36" fillId="28" borderId="12" xfId="0" applyFont="1" applyFill="1" applyBorder="1" applyAlignment="1">
      <alignment horizontal="center" vertical="center"/>
    </xf>
    <xf numFmtId="0" fontId="0" fillId="0" borderId="0" xfId="0" applyAlignment="1">
      <alignment vertical="center"/>
    </xf>
    <xf numFmtId="0" fontId="37" fillId="29" borderId="15" xfId="0" applyFont="1" applyFill="1" applyBorder="1" applyAlignment="1">
      <alignment horizontal="center" vertical="center"/>
    </xf>
    <xf numFmtId="0" fontId="38" fillId="28" borderId="47" xfId="0" applyFont="1" applyFill="1" applyBorder="1" applyAlignment="1">
      <alignment wrapText="1"/>
    </xf>
    <xf numFmtId="165" fontId="0" fillId="5" borderId="48" xfId="0" applyNumberFormat="1" applyFill="1" applyBorder="1"/>
    <xf numFmtId="165" fontId="0" fillId="30" borderId="48" xfId="0" applyNumberFormat="1" applyFill="1" applyBorder="1"/>
    <xf numFmtId="165" fontId="0" fillId="17" borderId="48" xfId="0" applyNumberFormat="1" applyFill="1" applyBorder="1"/>
    <xf numFmtId="165" fontId="0" fillId="17" borderId="48" xfId="0" applyNumberFormat="1" applyFill="1" applyBorder="1" applyAlignment="1">
      <alignment horizontal="right"/>
    </xf>
    <xf numFmtId="10" fontId="0" fillId="5" borderId="48" xfId="0" applyNumberFormat="1" applyFill="1" applyBorder="1"/>
    <xf numFmtId="10" fontId="0" fillId="30" borderId="48" xfId="0" applyNumberFormat="1" applyFill="1" applyBorder="1"/>
    <xf numFmtId="10" fontId="0" fillId="17" borderId="48" xfId="0" applyNumberFormat="1" applyFill="1" applyBorder="1"/>
    <xf numFmtId="165" fontId="0" fillId="17" borderId="47" xfId="0" applyNumberFormat="1" applyFill="1" applyBorder="1" applyAlignment="1">
      <alignment horizontal="right"/>
    </xf>
    <xf numFmtId="165" fontId="0" fillId="5" borderId="47" xfId="0" applyNumberFormat="1" applyFill="1" applyBorder="1"/>
    <xf numFmtId="165" fontId="0" fillId="30" borderId="47" xfId="0" applyNumberFormat="1" applyFill="1" applyBorder="1"/>
    <xf numFmtId="165" fontId="0" fillId="17" borderId="47" xfId="0" applyNumberFormat="1" applyFill="1" applyBorder="1"/>
    <xf numFmtId="10" fontId="0" fillId="5" borderId="47" xfId="0" applyNumberFormat="1" applyFill="1" applyBorder="1"/>
    <xf numFmtId="10" fontId="0" fillId="30" borderId="47" xfId="0" applyNumberFormat="1" applyFill="1" applyBorder="1"/>
    <xf numFmtId="10" fontId="0" fillId="17" borderId="47" xfId="0" applyNumberFormat="1" applyFill="1" applyBorder="1"/>
    <xf numFmtId="165" fontId="1" fillId="5" borderId="47" xfId="0" applyNumberFormat="1" applyFont="1" applyFill="1" applyBorder="1"/>
    <xf numFmtId="165" fontId="1" fillId="30" borderId="47" xfId="0" applyNumberFormat="1" applyFont="1" applyFill="1" applyBorder="1"/>
    <xf numFmtId="165" fontId="1" fillId="17" borderId="47" xfId="0" applyNumberFormat="1" applyFont="1" applyFill="1" applyBorder="1"/>
    <xf numFmtId="0" fontId="39" fillId="0" borderId="0" xfId="0" applyFont="1"/>
    <xf numFmtId="0" fontId="44" fillId="0" borderId="0" xfId="0" applyFont="1"/>
    <xf numFmtId="0" fontId="1" fillId="0" borderId="0" xfId="0" applyFont="1" applyAlignment="1">
      <alignment vertical="top"/>
    </xf>
    <xf numFmtId="165" fontId="0" fillId="0" borderId="0" xfId="0" applyNumberFormat="1" applyAlignment="1">
      <alignment vertical="top" wrapText="1"/>
    </xf>
    <xf numFmtId="0" fontId="0" fillId="0" borderId="0" xfId="0" applyAlignment="1">
      <alignment horizontal="center" vertical="center"/>
    </xf>
    <xf numFmtId="0" fontId="34" fillId="31" borderId="0" xfId="0" applyFont="1" applyFill="1" applyAlignment="1">
      <alignment horizontal="center" vertical="center"/>
    </xf>
    <xf numFmtId="0" fontId="34" fillId="29" borderId="0" xfId="0" applyFont="1" applyFill="1" applyAlignment="1">
      <alignment horizontal="center" vertical="center"/>
    </xf>
    <xf numFmtId="165" fontId="34" fillId="29" borderId="0" xfId="2" applyNumberFormat="1" applyFont="1" applyFill="1" applyBorder="1" applyAlignment="1">
      <alignment horizontal="center" wrapText="1"/>
    </xf>
    <xf numFmtId="0" fontId="34" fillId="29" borderId="0" xfId="0" applyFont="1" applyFill="1" applyAlignment="1">
      <alignment horizontal="center" vertical="center" wrapText="1"/>
    </xf>
    <xf numFmtId="165" fontId="34" fillId="29" borderId="0" xfId="2" applyNumberFormat="1" applyFont="1" applyFill="1" applyBorder="1" applyAlignment="1">
      <alignment horizontal="center" vertical="center" wrapText="1"/>
    </xf>
    <xf numFmtId="0" fontId="34" fillId="32" borderId="0" xfId="0" applyFont="1" applyFill="1" applyAlignment="1">
      <alignment horizontal="center" vertical="center" wrapText="1"/>
    </xf>
    <xf numFmtId="0" fontId="0" fillId="33" borderId="0" xfId="0" applyFill="1"/>
    <xf numFmtId="0" fontId="1" fillId="33" borderId="0" xfId="0" applyFont="1" applyFill="1" applyAlignment="1">
      <alignment vertical="top" wrapText="1"/>
    </xf>
    <xf numFmtId="0" fontId="0" fillId="33" borderId="0" xfId="0" applyFill="1" applyAlignment="1">
      <alignment wrapText="1"/>
    </xf>
    <xf numFmtId="164" fontId="0" fillId="33" borderId="0" xfId="1" applyNumberFormat="1" applyFont="1" applyFill="1" applyAlignment="1">
      <alignment vertical="top" wrapText="1"/>
    </xf>
    <xf numFmtId="0" fontId="0" fillId="33" borderId="0" xfId="0" applyFill="1" applyAlignment="1">
      <alignment horizontal="center" vertical="center" wrapText="1"/>
    </xf>
    <xf numFmtId="0" fontId="0" fillId="0" borderId="0" xfId="0" applyAlignment="1">
      <alignment horizontal="left" wrapText="1"/>
    </xf>
    <xf numFmtId="0" fontId="1" fillId="34" borderId="0" xfId="0" applyFont="1" applyFill="1"/>
    <xf numFmtId="0" fontId="1" fillId="34" borderId="0" xfId="0" applyFont="1" applyFill="1" applyAlignment="1">
      <alignment vertical="top" wrapText="1"/>
    </xf>
    <xf numFmtId="0" fontId="0" fillId="34" borderId="0" xfId="0" applyFill="1" applyAlignment="1">
      <alignment wrapText="1"/>
    </xf>
    <xf numFmtId="164" fontId="0" fillId="34" borderId="0" xfId="1" applyNumberFormat="1" applyFont="1" applyFill="1" applyAlignment="1">
      <alignment vertical="top" wrapText="1"/>
    </xf>
    <xf numFmtId="164" fontId="0" fillId="34" borderId="0" xfId="1" applyNumberFormat="1" applyFont="1" applyFill="1" applyAlignment="1">
      <alignment horizontal="center" vertical="center" wrapText="1"/>
    </xf>
    <xf numFmtId="0" fontId="1" fillId="0" borderId="47" xfId="0" applyFont="1" applyBorder="1" applyAlignment="1">
      <alignment vertical="top" wrapText="1"/>
    </xf>
    <xf numFmtId="0" fontId="0" fillId="0" borderId="47" xfId="0" applyBorder="1" applyAlignment="1">
      <alignment wrapText="1"/>
    </xf>
    <xf numFmtId="164" fontId="0" fillId="0" borderId="47" xfId="1" applyNumberFormat="1" applyFont="1" applyBorder="1" applyAlignment="1">
      <alignment vertical="top" wrapText="1"/>
    </xf>
    <xf numFmtId="0" fontId="0" fillId="35" borderId="0" xfId="0" applyFill="1" applyAlignment="1">
      <alignment horizontal="center" vertical="center" wrapText="1"/>
    </xf>
    <xf numFmtId="0" fontId="0" fillId="34" borderId="0" xfId="0" applyFill="1" applyAlignment="1">
      <alignment horizontal="center" wrapText="1"/>
    </xf>
    <xf numFmtId="0" fontId="0" fillId="34" borderId="0" xfId="0" applyFill="1"/>
    <xf numFmtId="169" fontId="0" fillId="36" borderId="0" xfId="0" applyNumberFormat="1" applyFill="1"/>
    <xf numFmtId="169" fontId="1" fillId="36" borderId="0" xfId="0" applyNumberFormat="1" applyFont="1" applyFill="1" applyAlignment="1">
      <alignment horizontal="right" wrapText="1"/>
    </xf>
    <xf numFmtId="164" fontId="1" fillId="36" borderId="0" xfId="1" applyNumberFormat="1" applyFont="1" applyFill="1"/>
    <xf numFmtId="0" fontId="0" fillId="35" borderId="0" xfId="0" applyFill="1" applyAlignment="1">
      <alignment horizontal="center" vertical="center"/>
    </xf>
    <xf numFmtId="164" fontId="0" fillId="34" borderId="0" xfId="1" applyNumberFormat="1" applyFont="1" applyFill="1"/>
    <xf numFmtId="165" fontId="0" fillId="23" borderId="47" xfId="1" applyNumberFormat="1" applyFont="1" applyFill="1" applyBorder="1" applyAlignment="1">
      <alignment vertical="top" wrapText="1"/>
    </xf>
    <xf numFmtId="165" fontId="0" fillId="0" borderId="50" xfId="1" applyNumberFormat="1" applyFont="1" applyBorder="1" applyAlignment="1">
      <alignment vertical="top" wrapText="1"/>
    </xf>
    <xf numFmtId="165" fontId="0" fillId="0" borderId="47" xfId="0" applyNumberFormat="1" applyBorder="1" applyAlignment="1">
      <alignment vertical="top" wrapText="1"/>
    </xf>
    <xf numFmtId="165" fontId="0" fillId="0" borderId="47" xfId="1" applyNumberFormat="1" applyFont="1" applyBorder="1" applyAlignment="1">
      <alignment vertical="top" wrapText="1"/>
    </xf>
    <xf numFmtId="165" fontId="0" fillId="0" borderId="48" xfId="1" applyNumberFormat="1" applyFont="1" applyBorder="1" applyAlignment="1">
      <alignment vertical="top" wrapText="1"/>
    </xf>
    <xf numFmtId="165" fontId="1" fillId="36" borderId="2" xfId="1" applyNumberFormat="1" applyFont="1" applyFill="1" applyBorder="1" applyAlignment="1">
      <alignment vertical="top" wrapText="1"/>
    </xf>
    <xf numFmtId="165" fontId="1" fillId="36" borderId="0" xfId="1" applyNumberFormat="1" applyFont="1" applyFill="1" applyBorder="1" applyAlignment="1">
      <alignment vertical="top" wrapText="1"/>
    </xf>
    <xf numFmtId="165" fontId="1" fillId="36" borderId="47" xfId="1" applyNumberFormat="1" applyFont="1" applyFill="1" applyBorder="1" applyAlignment="1">
      <alignment vertical="top" wrapText="1"/>
    </xf>
    <xf numFmtId="0" fontId="0" fillId="34" borderId="0" xfId="0" applyFill="1" applyAlignment="1">
      <alignment vertical="top" wrapText="1"/>
    </xf>
    <xf numFmtId="164" fontId="0" fillId="0" borderId="51" xfId="1" applyNumberFormat="1" applyFont="1" applyBorder="1" applyAlignment="1">
      <alignment vertical="top" wrapText="1"/>
    </xf>
    <xf numFmtId="164" fontId="0" fillId="0" borderId="52" xfId="1" applyNumberFormat="1" applyFont="1" applyBorder="1" applyAlignment="1">
      <alignment vertical="top" wrapText="1"/>
    </xf>
    <xf numFmtId="165" fontId="0" fillId="23" borderId="2" xfId="1" applyNumberFormat="1" applyFont="1" applyFill="1" applyBorder="1" applyAlignment="1">
      <alignment vertical="top" wrapText="1"/>
    </xf>
    <xf numFmtId="165" fontId="1" fillId="36" borderId="0" xfId="0" applyNumberFormat="1" applyFont="1" applyFill="1" applyAlignment="1">
      <alignment vertical="top" wrapText="1"/>
    </xf>
    <xf numFmtId="165" fontId="0" fillId="36" borderId="0" xfId="0" applyNumberFormat="1" applyFill="1" applyAlignment="1">
      <alignment vertical="top" wrapText="1"/>
    </xf>
    <xf numFmtId="165" fontId="1" fillId="36" borderId="50" xfId="1" applyNumberFormat="1" applyFont="1" applyFill="1" applyBorder="1" applyAlignment="1">
      <alignment vertical="top" wrapText="1"/>
    </xf>
    <xf numFmtId="0" fontId="1" fillId="36" borderId="49" xfId="0" applyFont="1" applyFill="1" applyBorder="1" applyAlignment="1">
      <alignment horizontal="right" wrapText="1"/>
    </xf>
    <xf numFmtId="165" fontId="1" fillId="36" borderId="30" xfId="0" applyNumberFormat="1" applyFont="1" applyFill="1" applyBorder="1" applyAlignment="1">
      <alignment vertical="top" wrapText="1"/>
    </xf>
    <xf numFmtId="0" fontId="1" fillId="34" borderId="0" xfId="0" applyFont="1" applyFill="1" applyAlignment="1">
      <alignment wrapText="1"/>
    </xf>
    <xf numFmtId="165" fontId="0" fillId="23" borderId="47" xfId="0" applyNumberFormat="1" applyFill="1" applyBorder="1" applyAlignment="1">
      <alignment vertical="top" wrapText="1"/>
    </xf>
    <xf numFmtId="164" fontId="0" fillId="23" borderId="47" xfId="1" applyNumberFormat="1" applyFont="1" applyFill="1" applyBorder="1" applyAlignment="1">
      <alignment vertical="top" wrapText="1"/>
    </xf>
    <xf numFmtId="165" fontId="0" fillId="23" borderId="50" xfId="1" applyNumberFormat="1" applyFont="1" applyFill="1" applyBorder="1" applyAlignment="1">
      <alignment vertical="top" wrapText="1"/>
    </xf>
    <xf numFmtId="165" fontId="0" fillId="23" borderId="50" xfId="0" applyNumberFormat="1" applyFill="1" applyBorder="1" applyAlignment="1">
      <alignment vertical="top" wrapText="1"/>
    </xf>
    <xf numFmtId="164" fontId="0" fillId="0" borderId="48" xfId="1" applyNumberFormat="1" applyFont="1" applyBorder="1" applyAlignment="1">
      <alignment vertical="top" wrapText="1"/>
    </xf>
    <xf numFmtId="164" fontId="0" fillId="23" borderId="48" xfId="1" applyNumberFormat="1" applyFont="1" applyFill="1" applyBorder="1" applyAlignment="1">
      <alignment vertical="top" wrapText="1"/>
    </xf>
    <xf numFmtId="164" fontId="0" fillId="0" borderId="47" xfId="1" applyNumberFormat="1" applyFont="1" applyBorder="1" applyAlignment="1">
      <alignment wrapText="1"/>
    </xf>
    <xf numFmtId="164" fontId="0" fillId="23" borderId="47" xfId="1" applyNumberFormat="1" applyFont="1" applyFill="1" applyBorder="1" applyAlignment="1">
      <alignment wrapText="1"/>
    </xf>
    <xf numFmtId="0" fontId="1" fillId="0" borderId="47" xfId="0" applyFont="1" applyBorder="1" applyAlignment="1">
      <alignment vertical="top"/>
    </xf>
    <xf numFmtId="0" fontId="1" fillId="0" borderId="47" xfId="0" applyFont="1" applyBorder="1" applyAlignment="1">
      <alignment horizontal="left" vertical="top" wrapText="1"/>
    </xf>
    <xf numFmtId="0" fontId="0" fillId="0" borderId="51" xfId="0" applyBorder="1" applyAlignment="1">
      <alignment wrapText="1"/>
    </xf>
    <xf numFmtId="164" fontId="0" fillId="23" borderId="51" xfId="1" applyNumberFormat="1" applyFont="1" applyFill="1" applyBorder="1" applyAlignment="1">
      <alignment vertical="top" wrapText="1"/>
    </xf>
    <xf numFmtId="0" fontId="1" fillId="36" borderId="0" xfId="0" applyFont="1" applyFill="1"/>
    <xf numFmtId="169" fontId="1" fillId="36" borderId="49" xfId="0" applyNumberFormat="1" applyFont="1" applyFill="1" applyBorder="1" applyAlignment="1">
      <alignment horizontal="right" wrapText="1"/>
    </xf>
    <xf numFmtId="165" fontId="1" fillId="36" borderId="32" xfId="0" applyNumberFormat="1" applyFont="1" applyFill="1" applyBorder="1" applyAlignment="1">
      <alignment vertical="top" wrapText="1"/>
    </xf>
    <xf numFmtId="0" fontId="1" fillId="36" borderId="0" xfId="0" applyFont="1" applyFill="1" applyAlignment="1">
      <alignment horizontal="right" wrapText="1"/>
    </xf>
    <xf numFmtId="0" fontId="45" fillId="34" borderId="0" xfId="0" applyFont="1" applyFill="1" applyAlignment="1">
      <alignment horizontal="right" wrapText="1"/>
    </xf>
    <xf numFmtId="165" fontId="40" fillId="34" borderId="0" xfId="0" applyNumberFormat="1" applyFont="1" applyFill="1" applyAlignment="1">
      <alignment wrapText="1"/>
    </xf>
    <xf numFmtId="0" fontId="40" fillId="34" borderId="0" xfId="0" applyFont="1" applyFill="1" applyAlignment="1">
      <alignment wrapText="1"/>
    </xf>
    <xf numFmtId="165" fontId="45" fillId="34" borderId="0" xfId="0" applyNumberFormat="1" applyFont="1" applyFill="1" applyAlignment="1">
      <alignment wrapText="1"/>
    </xf>
    <xf numFmtId="0" fontId="0" fillId="34" borderId="0" xfId="0" applyFill="1" applyAlignment="1">
      <alignment horizontal="center" vertical="center" wrapText="1"/>
    </xf>
    <xf numFmtId="0" fontId="0" fillId="0" borderId="0" xfId="0" applyAlignment="1">
      <alignment vertical="top"/>
    </xf>
    <xf numFmtId="164" fontId="0" fillId="0" borderId="0" xfId="1" applyNumberFormat="1" applyFont="1" applyAlignment="1">
      <alignment vertical="top"/>
    </xf>
    <xf numFmtId="164" fontId="0" fillId="0" borderId="0" xfId="1" applyNumberFormat="1" applyFont="1" applyAlignment="1">
      <alignment vertical="top" wrapText="1"/>
    </xf>
    <xf numFmtId="0" fontId="1" fillId="37" borderId="0" xfId="0" applyFont="1" applyFill="1" applyAlignment="1">
      <alignment wrapText="1"/>
    </xf>
    <xf numFmtId="164" fontId="1" fillId="37" borderId="0" xfId="1" applyNumberFormat="1" applyFont="1" applyFill="1" applyAlignment="1">
      <alignment vertical="top" wrapText="1"/>
    </xf>
    <xf numFmtId="0" fontId="0" fillId="37" borderId="0" xfId="0" applyFill="1" applyAlignment="1">
      <alignment wrapText="1"/>
    </xf>
    <xf numFmtId="170" fontId="0" fillId="37" borderId="0" xfId="2" applyNumberFormat="1" applyFont="1" applyFill="1" applyAlignment="1">
      <alignment vertical="top" wrapText="1"/>
    </xf>
    <xf numFmtId="170" fontId="1" fillId="37" borderId="0" xfId="2" applyNumberFormat="1" applyFont="1" applyFill="1" applyAlignment="1">
      <alignment vertical="top" wrapText="1"/>
    </xf>
    <xf numFmtId="9" fontId="0" fillId="37" borderId="0" xfId="3" applyFont="1" applyFill="1" applyAlignment="1">
      <alignment vertical="top" wrapText="1"/>
    </xf>
    <xf numFmtId="9" fontId="1" fillId="37" borderId="0" xfId="3" applyFont="1" applyFill="1" applyAlignment="1">
      <alignment vertical="top" wrapText="1"/>
    </xf>
    <xf numFmtId="0" fontId="1" fillId="22" borderId="0" xfId="0" applyFont="1" applyFill="1" applyAlignment="1">
      <alignment horizontal="left"/>
    </xf>
    <xf numFmtId="0" fontId="0" fillId="38" borderId="0" xfId="0" applyFill="1"/>
    <xf numFmtId="0" fontId="1" fillId="38" borderId="0" xfId="0" applyFont="1" applyFill="1"/>
    <xf numFmtId="0" fontId="0" fillId="38" borderId="0" xfId="0" applyFill="1" applyAlignment="1">
      <alignment wrapText="1"/>
    </xf>
    <xf numFmtId="0" fontId="1" fillId="39" borderId="0" xfId="0" applyFont="1" applyFill="1"/>
    <xf numFmtId="0" fontId="0" fillId="38" borderId="0" xfId="0" applyFill="1" applyAlignment="1">
      <alignment horizontal="left" wrapText="1" indent="1"/>
    </xf>
    <xf numFmtId="0" fontId="0" fillId="38" borderId="0" xfId="0" applyFill="1" applyAlignment="1">
      <alignment horizontal="left" wrapText="1" indent="2"/>
    </xf>
    <xf numFmtId="0" fontId="0" fillId="37" borderId="0" xfId="0" applyFill="1"/>
    <xf numFmtId="0" fontId="1" fillId="40" borderId="0" xfId="0" applyFont="1" applyFill="1"/>
    <xf numFmtId="0" fontId="0" fillId="37" borderId="0" xfId="0" applyFill="1" applyAlignment="1">
      <alignment horizontal="left" indent="2"/>
    </xf>
    <xf numFmtId="0" fontId="0" fillId="23" borderId="0" xfId="0" applyFill="1" applyAlignment="1">
      <alignment wrapText="1"/>
    </xf>
    <xf numFmtId="0" fontId="0" fillId="26" borderId="0" xfId="0" applyFill="1" applyAlignment="1">
      <alignment wrapText="1"/>
    </xf>
    <xf numFmtId="0" fontId="0" fillId="26" borderId="0" xfId="0" applyFill="1" applyAlignment="1">
      <alignment horizontal="left" wrapText="1" indent="1"/>
    </xf>
    <xf numFmtId="0" fontId="1" fillId="24" borderId="0" xfId="0" applyFont="1" applyFill="1"/>
    <xf numFmtId="0" fontId="48" fillId="25" borderId="0" xfId="9" applyFill="1"/>
    <xf numFmtId="0" fontId="4" fillId="5" borderId="0" xfId="0" applyFont="1" applyFill="1"/>
    <xf numFmtId="0" fontId="4" fillId="0" borderId="0" xfId="0" applyFont="1"/>
    <xf numFmtId="0" fontId="4" fillId="5" borderId="0" xfId="0" applyFont="1" applyFill="1" applyAlignment="1">
      <alignment wrapText="1"/>
    </xf>
    <xf numFmtId="0" fontId="3" fillId="0" borderId="0" xfId="0" applyFont="1"/>
    <xf numFmtId="0" fontId="5" fillId="2" borderId="0" xfId="0" applyFont="1" applyFill="1"/>
    <xf numFmtId="0" fontId="5" fillId="2" borderId="0" xfId="0" applyFont="1" applyFill="1" applyAlignment="1">
      <alignment wrapText="1"/>
    </xf>
    <xf numFmtId="0" fontId="3" fillId="0" borderId="0" xfId="0" applyFont="1" applyAlignment="1">
      <alignment vertical="top" wrapText="1"/>
    </xf>
    <xf numFmtId="0" fontId="4" fillId="0" borderId="0" xfId="0" applyFont="1" applyAlignment="1">
      <alignment wrapText="1"/>
    </xf>
    <xf numFmtId="9" fontId="4" fillId="0" borderId="0" xfId="0" applyNumberFormat="1" applyFont="1"/>
    <xf numFmtId="0" fontId="3" fillId="3" borderId="0" xfId="0" applyFont="1" applyFill="1" applyAlignment="1">
      <alignment vertical="top" wrapText="1"/>
    </xf>
    <xf numFmtId="0" fontId="4" fillId="3" borderId="0" xfId="0" applyFont="1" applyFill="1" applyAlignment="1">
      <alignment wrapText="1"/>
    </xf>
    <xf numFmtId="0" fontId="4" fillId="3" borderId="0" xfId="0" applyFont="1" applyFill="1"/>
    <xf numFmtId="164" fontId="4" fillId="3" borderId="0" xfId="0" applyNumberFormat="1" applyFont="1" applyFill="1"/>
    <xf numFmtId="9" fontId="4" fillId="3" borderId="0" xfId="0" applyNumberFormat="1" applyFont="1" applyFill="1"/>
    <xf numFmtId="0" fontId="5" fillId="0" borderId="0" xfId="0" applyFont="1"/>
    <xf numFmtId="0" fontId="6" fillId="0" borderId="0" xfId="0" applyFont="1" applyAlignment="1">
      <alignment wrapText="1"/>
    </xf>
    <xf numFmtId="0" fontId="6" fillId="4" borderId="0" xfId="0" applyFont="1" applyFill="1" applyAlignment="1">
      <alignment horizontal="right" wrapText="1"/>
    </xf>
    <xf numFmtId="0" fontId="6" fillId="0" borderId="0" xfId="0" applyFont="1"/>
    <xf numFmtId="0" fontId="3" fillId="0" borderId="0" xfId="0" applyFont="1" applyAlignment="1">
      <alignment vertical="top"/>
    </xf>
    <xf numFmtId="164" fontId="4" fillId="4" borderId="0" xfId="0" applyNumberFormat="1" applyFont="1" applyFill="1"/>
    <xf numFmtId="9" fontId="6" fillId="0" borderId="0" xfId="3" applyFont="1" applyBorder="1" applyAlignment="1"/>
    <xf numFmtId="0" fontId="5" fillId="0" borderId="0" xfId="0" applyFont="1" applyAlignment="1">
      <alignment wrapText="1"/>
    </xf>
    <xf numFmtId="164" fontId="5" fillId="0" borderId="0" xfId="0" applyNumberFormat="1" applyFont="1"/>
    <xf numFmtId="0" fontId="48" fillId="0" borderId="0" xfId="9"/>
    <xf numFmtId="170" fontId="0" fillId="0" borderId="0" xfId="0" applyNumberFormat="1"/>
    <xf numFmtId="9" fontId="0" fillId="0" borderId="0" xfId="3" applyFont="1"/>
    <xf numFmtId="0" fontId="48" fillId="0" borderId="0" xfId="9" applyAlignment="1">
      <alignment wrapText="1"/>
    </xf>
    <xf numFmtId="0" fontId="0" fillId="41" borderId="0" xfId="0" applyFill="1"/>
    <xf numFmtId="0" fontId="47" fillId="0" borderId="0" xfId="0" applyFont="1" applyAlignment="1">
      <alignment wrapText="1"/>
    </xf>
    <xf numFmtId="170" fontId="0" fillId="0" borderId="0" xfId="0" applyNumberFormat="1" applyAlignment="1">
      <alignment wrapText="1"/>
    </xf>
    <xf numFmtId="170" fontId="47" fillId="0" borderId="0" xfId="0" applyNumberFormat="1" applyFont="1" applyAlignment="1">
      <alignment wrapText="1"/>
    </xf>
    <xf numFmtId="0" fontId="53" fillId="23" borderId="0" xfId="0" applyFont="1" applyFill="1"/>
    <xf numFmtId="0" fontId="53" fillId="23" borderId="0" xfId="0" applyFont="1" applyFill="1" applyAlignment="1">
      <alignment wrapText="1"/>
    </xf>
    <xf numFmtId="0" fontId="54" fillId="23" borderId="0" xfId="9" applyFont="1" applyFill="1"/>
    <xf numFmtId="0" fontId="47" fillId="23" borderId="0" xfId="0" applyFont="1" applyFill="1"/>
    <xf numFmtId="0" fontId="1" fillId="23" borderId="0" xfId="0" applyFont="1" applyFill="1"/>
    <xf numFmtId="0" fontId="35" fillId="23" borderId="0" xfId="0" applyFont="1" applyFill="1"/>
    <xf numFmtId="0" fontId="55" fillId="23" borderId="0" xfId="0" applyFont="1" applyFill="1"/>
    <xf numFmtId="0" fontId="54" fillId="23" borderId="0" xfId="9" applyFont="1" applyFill="1" applyAlignment="1">
      <alignment wrapText="1"/>
    </xf>
    <xf numFmtId="170" fontId="0" fillId="23" borderId="0" xfId="0" applyNumberFormat="1" applyFill="1"/>
    <xf numFmtId="0" fontId="1" fillId="23" borderId="0" xfId="0" applyFont="1" applyFill="1" applyAlignment="1">
      <alignment horizontal="left" indent="1"/>
    </xf>
    <xf numFmtId="0" fontId="60" fillId="23" borderId="0" xfId="0" applyFont="1" applyFill="1"/>
    <xf numFmtId="0" fontId="35" fillId="23" borderId="0" xfId="0" applyFont="1" applyFill="1" applyAlignment="1">
      <alignment wrapText="1"/>
    </xf>
    <xf numFmtId="0" fontId="61" fillId="23" borderId="0" xfId="0" applyFont="1" applyFill="1"/>
    <xf numFmtId="0" fontId="35" fillId="23" borderId="0" xfId="0" applyFont="1" applyFill="1" applyAlignment="1">
      <alignment horizontal="left" wrapText="1" indent="1"/>
    </xf>
    <xf numFmtId="0" fontId="35" fillId="23" borderId="0" xfId="0" applyFont="1" applyFill="1" applyAlignment="1">
      <alignment horizontal="left" indent="2"/>
    </xf>
    <xf numFmtId="0" fontId="58" fillId="23" borderId="0" xfId="0" applyFont="1" applyFill="1" applyAlignment="1">
      <alignment horizontal="left" vertical="center" wrapText="1"/>
    </xf>
    <xf numFmtId="2" fontId="0" fillId="23" borderId="0" xfId="0" applyNumberFormat="1" applyFill="1" applyAlignment="1">
      <alignment horizontal="left" wrapText="1"/>
    </xf>
    <xf numFmtId="9" fontId="0" fillId="23" borderId="0" xfId="3" applyFont="1" applyFill="1" applyAlignment="1">
      <alignment horizontal="left" wrapText="1"/>
    </xf>
    <xf numFmtId="0" fontId="1" fillId="33" borderId="1" xfId="0" applyFont="1" applyFill="1" applyBorder="1"/>
    <xf numFmtId="0" fontId="0" fillId="33" borderId="1" xfId="0" applyFill="1" applyBorder="1"/>
    <xf numFmtId="0" fontId="56" fillId="33" borderId="1" xfId="0" applyFont="1" applyFill="1" applyBorder="1"/>
    <xf numFmtId="9" fontId="0" fillId="0" borderId="0" xfId="0" applyNumberFormat="1"/>
    <xf numFmtId="0" fontId="0" fillId="0" borderId="57" xfId="0" applyBorder="1"/>
    <xf numFmtId="0" fontId="0" fillId="0" borderId="58" xfId="0" applyBorder="1"/>
    <xf numFmtId="0" fontId="53" fillId="23" borderId="56" xfId="0" applyFont="1" applyFill="1" applyBorder="1" applyAlignment="1">
      <alignment horizontal="left" wrapText="1"/>
    </xf>
    <xf numFmtId="0" fontId="54" fillId="23" borderId="0" xfId="9" applyFont="1" applyFill="1" applyBorder="1" applyAlignment="1">
      <alignment wrapText="1"/>
    </xf>
    <xf numFmtId="0" fontId="35" fillId="23" borderId="0" xfId="0" applyFont="1" applyFill="1" applyAlignment="1">
      <alignment horizontal="left" indent="1"/>
    </xf>
    <xf numFmtId="0" fontId="0" fillId="23" borderId="0" xfId="0" applyFill="1" applyAlignment="1">
      <alignment vertical="center"/>
    </xf>
    <xf numFmtId="0" fontId="0" fillId="23" borderId="0" xfId="0" applyFill="1" applyAlignment="1">
      <alignment horizontal="left"/>
    </xf>
    <xf numFmtId="0" fontId="1" fillId="33" borderId="1" xfId="0" applyFont="1" applyFill="1" applyBorder="1" applyAlignment="1">
      <alignment horizontal="left"/>
    </xf>
    <xf numFmtId="170" fontId="0" fillId="23" borderId="0" xfId="0" applyNumberFormat="1" applyFill="1" applyAlignment="1">
      <alignment horizontal="left"/>
    </xf>
    <xf numFmtId="170" fontId="0" fillId="23" borderId="2" xfId="0" applyNumberFormat="1" applyFill="1" applyBorder="1" applyAlignment="1">
      <alignment horizontal="left"/>
    </xf>
    <xf numFmtId="0" fontId="35" fillId="26" borderId="0" xfId="0" applyFont="1" applyFill="1" applyAlignment="1">
      <alignment horizontal="left" wrapText="1"/>
    </xf>
    <xf numFmtId="0" fontId="0" fillId="26" borderId="56" xfId="0" applyFill="1" applyBorder="1" applyAlignment="1">
      <alignment horizontal="left" wrapText="1"/>
    </xf>
    <xf numFmtId="2" fontId="0" fillId="23" borderId="0" xfId="0" applyNumberFormat="1" applyFill="1"/>
    <xf numFmtId="0" fontId="35" fillId="23" borderId="0" xfId="0" applyFont="1" applyFill="1" applyAlignment="1">
      <alignment horizontal="left"/>
    </xf>
    <xf numFmtId="0" fontId="35" fillId="23" borderId="2" xfId="0" applyFont="1" applyFill="1" applyBorder="1"/>
    <xf numFmtId="0" fontId="52" fillId="23" borderId="0" xfId="0" applyFont="1" applyFill="1" applyAlignment="1">
      <alignment horizontal="left" wrapText="1"/>
    </xf>
    <xf numFmtId="0" fontId="52" fillId="23" borderId="0" xfId="0" applyFont="1" applyFill="1" applyAlignment="1">
      <alignment horizontal="left"/>
    </xf>
    <xf numFmtId="0" fontId="34" fillId="44" borderId="61" xfId="0" applyFont="1" applyFill="1" applyBorder="1"/>
    <xf numFmtId="9" fontId="0" fillId="0" borderId="47" xfId="0" applyNumberFormat="1" applyBorder="1"/>
    <xf numFmtId="0" fontId="54" fillId="23" borderId="47" xfId="9" applyFont="1" applyFill="1" applyBorder="1" applyAlignment="1">
      <alignment wrapText="1"/>
    </xf>
    <xf numFmtId="0" fontId="0" fillId="0" borderId="47" xfId="0" applyBorder="1"/>
    <xf numFmtId="0" fontId="0" fillId="23" borderId="47" xfId="0" applyFill="1" applyBorder="1"/>
    <xf numFmtId="0" fontId="0" fillId="23" borderId="48" xfId="0" applyFill="1" applyBorder="1"/>
    <xf numFmtId="0" fontId="0" fillId="23" borderId="51" xfId="0" applyFill="1" applyBorder="1"/>
    <xf numFmtId="3" fontId="0" fillId="23" borderId="48" xfId="0" applyNumberFormat="1" applyFill="1" applyBorder="1"/>
    <xf numFmtId="0" fontId="1" fillId="0" borderId="47" xfId="0" applyFont="1" applyBorder="1"/>
    <xf numFmtId="0" fontId="0" fillId="23" borderId="47" xfId="0" applyFill="1" applyBorder="1" applyAlignment="1">
      <alignment wrapText="1"/>
    </xf>
    <xf numFmtId="0" fontId="1" fillId="23" borderId="49" xfId="0" applyFont="1" applyFill="1" applyBorder="1"/>
    <xf numFmtId="0" fontId="1" fillId="23" borderId="32" xfId="0" applyFont="1" applyFill="1" applyBorder="1"/>
    <xf numFmtId="0" fontId="0" fillId="42" borderId="47" xfId="0" applyFill="1" applyBorder="1" applyAlignment="1" applyProtection="1">
      <alignment horizontal="left" wrapText="1"/>
      <protection locked="0"/>
    </xf>
    <xf numFmtId="9" fontId="0" fillId="42" borderId="47" xfId="3" applyFont="1" applyFill="1" applyBorder="1" applyAlignment="1" applyProtection="1">
      <alignment horizontal="left" wrapText="1"/>
      <protection locked="0"/>
    </xf>
    <xf numFmtId="0" fontId="0" fillId="42" borderId="47" xfId="0" applyFill="1" applyBorder="1" applyAlignment="1" applyProtection="1">
      <alignment horizontal="left"/>
      <protection locked="0"/>
    </xf>
    <xf numFmtId="0" fontId="0" fillId="42" borderId="47" xfId="0" applyFill="1" applyBorder="1" applyProtection="1">
      <protection locked="0"/>
    </xf>
    <xf numFmtId="2" fontId="0" fillId="42" borderId="48" xfId="0" applyNumberFormat="1" applyFill="1" applyBorder="1" applyAlignment="1" applyProtection="1">
      <alignment horizontal="left"/>
      <protection locked="0"/>
    </xf>
    <xf numFmtId="9" fontId="0" fillId="42" borderId="47" xfId="3" applyFont="1" applyFill="1" applyBorder="1" applyAlignment="1" applyProtection="1">
      <alignment horizontal="left"/>
      <protection locked="0"/>
    </xf>
    <xf numFmtId="0" fontId="35" fillId="23" borderId="0" xfId="0" applyFont="1" applyFill="1" applyAlignment="1">
      <alignment horizontal="left" wrapText="1"/>
    </xf>
    <xf numFmtId="9" fontId="48" fillId="0" borderId="0" xfId="9" applyNumberFormat="1" applyFill="1" applyBorder="1" applyAlignment="1">
      <alignment wrapText="1"/>
    </xf>
    <xf numFmtId="2" fontId="0" fillId="26" borderId="56" xfId="0" applyNumberFormat="1" applyFill="1" applyBorder="1" applyAlignment="1">
      <alignment horizontal="left" wrapText="1"/>
    </xf>
    <xf numFmtId="172" fontId="0" fillId="26" borderId="56" xfId="0" applyNumberFormat="1" applyFill="1" applyBorder="1" applyAlignment="1">
      <alignment horizontal="left" wrapText="1"/>
    </xf>
    <xf numFmtId="49" fontId="0" fillId="23" borderId="51" xfId="0" applyNumberFormat="1" applyFill="1" applyBorder="1" applyAlignment="1">
      <alignment horizontal="right"/>
    </xf>
    <xf numFmtId="49" fontId="0" fillId="23" borderId="50" xfId="0" applyNumberFormat="1" applyFill="1" applyBorder="1" applyAlignment="1">
      <alignment horizontal="right"/>
    </xf>
    <xf numFmtId="49" fontId="0" fillId="23" borderId="48" xfId="0" applyNumberFormat="1" applyFill="1" applyBorder="1" applyAlignment="1">
      <alignment horizontal="right"/>
    </xf>
    <xf numFmtId="0" fontId="53" fillId="23" borderId="44" xfId="0" applyFont="1" applyFill="1" applyBorder="1"/>
    <xf numFmtId="0" fontId="0" fillId="23" borderId="45" xfId="0" applyFill="1" applyBorder="1"/>
    <xf numFmtId="49" fontId="53" fillId="23" borderId="63" xfId="0" applyNumberFormat="1" applyFont="1" applyFill="1" applyBorder="1" applyAlignment="1">
      <alignment horizontal="right"/>
    </xf>
    <xf numFmtId="3" fontId="0" fillId="0" borderId="47" xfId="0" applyNumberFormat="1" applyBorder="1"/>
    <xf numFmtId="0" fontId="53" fillId="0" borderId="47" xfId="0" applyFont="1" applyBorder="1"/>
    <xf numFmtId="0" fontId="54" fillId="0" borderId="47" xfId="9" applyFont="1" applyBorder="1"/>
    <xf numFmtId="0" fontId="54" fillId="0" borderId="47" xfId="9" applyFont="1" applyBorder="1" applyAlignment="1">
      <alignment wrapText="1"/>
    </xf>
    <xf numFmtId="0" fontId="1" fillId="26" borderId="44" xfId="0" applyFont="1" applyFill="1" applyBorder="1"/>
    <xf numFmtId="0" fontId="1" fillId="26" borderId="25" xfId="0" applyFont="1" applyFill="1" applyBorder="1" applyAlignment="1">
      <alignment wrapText="1"/>
    </xf>
    <xf numFmtId="0" fontId="1" fillId="26" borderId="45" xfId="0" applyFont="1" applyFill="1" applyBorder="1" applyAlignment="1">
      <alignment wrapText="1"/>
    </xf>
    <xf numFmtId="0" fontId="50" fillId="23" borderId="64" xfId="0" applyFont="1" applyFill="1" applyBorder="1" applyAlignment="1">
      <alignment horizontal="left" vertical="center" wrapText="1"/>
    </xf>
    <xf numFmtId="0" fontId="1" fillId="0" borderId="65" xfId="0" applyFont="1" applyBorder="1"/>
    <xf numFmtId="0" fontId="49" fillId="23" borderId="64" xfId="0" applyFont="1" applyFill="1" applyBorder="1" applyAlignment="1">
      <alignment wrapText="1"/>
    </xf>
    <xf numFmtId="3" fontId="0" fillId="0" borderId="65" xfId="0" applyNumberFormat="1" applyBorder="1"/>
    <xf numFmtId="0" fontId="49" fillId="23" borderId="17" xfId="0" applyFont="1" applyFill="1" applyBorder="1" applyAlignment="1">
      <alignment wrapText="1"/>
    </xf>
    <xf numFmtId="0" fontId="0" fillId="23" borderId="66" xfId="0" applyFill="1" applyBorder="1" applyAlignment="1">
      <alignment wrapText="1"/>
    </xf>
    <xf numFmtId="3" fontId="0" fillId="0" borderId="66" xfId="0" applyNumberFormat="1" applyBorder="1"/>
    <xf numFmtId="3" fontId="0" fillId="0" borderId="67" xfId="0" applyNumberFormat="1" applyBorder="1"/>
    <xf numFmtId="0" fontId="0" fillId="23" borderId="47" xfId="0" applyFill="1" applyBorder="1" applyAlignment="1">
      <alignment horizontal="right" wrapText="1"/>
    </xf>
    <xf numFmtId="3" fontId="0" fillId="23" borderId="51" xfId="0" applyNumberFormat="1" applyFill="1" applyBorder="1"/>
    <xf numFmtId="3" fontId="0" fillId="23" borderId="50" xfId="0" applyNumberFormat="1" applyFill="1" applyBorder="1"/>
    <xf numFmtId="3" fontId="0" fillId="23" borderId="47" xfId="0" applyNumberFormat="1" applyFill="1" applyBorder="1" applyAlignment="1">
      <alignment wrapText="1"/>
    </xf>
    <xf numFmtId="0" fontId="50" fillId="23" borderId="0" xfId="0" applyFont="1" applyFill="1" applyAlignment="1">
      <alignment horizontal="left" vertical="center"/>
    </xf>
    <xf numFmtId="0" fontId="66" fillId="23" borderId="0" xfId="0" applyFont="1" applyFill="1" applyAlignment="1">
      <alignment wrapText="1"/>
    </xf>
    <xf numFmtId="9" fontId="0" fillId="23" borderId="0" xfId="0" applyNumberFormat="1" applyFill="1" applyAlignment="1">
      <alignment wrapText="1"/>
    </xf>
    <xf numFmtId="9" fontId="0" fillId="23" borderId="47" xfId="0" applyNumberFormat="1" applyFill="1" applyBorder="1" applyAlignment="1">
      <alignment wrapText="1"/>
    </xf>
    <xf numFmtId="0" fontId="1" fillId="46" borderId="47" xfId="0" applyFont="1" applyFill="1" applyBorder="1" applyAlignment="1">
      <alignment wrapText="1"/>
    </xf>
    <xf numFmtId="0" fontId="1" fillId="46" borderId="47" xfId="0" applyFont="1" applyFill="1" applyBorder="1"/>
    <xf numFmtId="164" fontId="0" fillId="23" borderId="47" xfId="1" applyNumberFormat="1" applyFont="1" applyFill="1" applyBorder="1"/>
    <xf numFmtId="9" fontId="0" fillId="23" borderId="47" xfId="0" applyNumberFormat="1" applyFill="1" applyBorder="1"/>
    <xf numFmtId="9" fontId="0" fillId="23" borderId="47" xfId="0" applyNumberFormat="1" applyFill="1" applyBorder="1" applyAlignment="1">
      <alignment horizontal="right"/>
    </xf>
    <xf numFmtId="0" fontId="1" fillId="33" borderId="47" xfId="0" applyFont="1" applyFill="1" applyBorder="1"/>
    <xf numFmtId="0" fontId="0" fillId="33" borderId="47" xfId="0" applyFill="1" applyBorder="1"/>
    <xf numFmtId="0" fontId="1" fillId="5" borderId="47" xfId="0" applyFont="1" applyFill="1" applyBorder="1"/>
    <xf numFmtId="0" fontId="53" fillId="33" borderId="47" xfId="0" applyFont="1" applyFill="1" applyBorder="1" applyAlignment="1">
      <alignment wrapText="1"/>
    </xf>
    <xf numFmtId="0" fontId="34" fillId="45" borderId="62" xfId="0" applyFont="1" applyFill="1" applyBorder="1" applyAlignment="1">
      <alignment horizontal="left"/>
    </xf>
    <xf numFmtId="0" fontId="34" fillId="45" borderId="0" xfId="0" applyFont="1" applyFill="1" applyAlignment="1">
      <alignment horizontal="left"/>
    </xf>
    <xf numFmtId="0" fontId="1" fillId="26" borderId="44" xfId="0" applyFont="1" applyFill="1" applyBorder="1" applyAlignment="1">
      <alignment horizontal="left" wrapText="1"/>
    </xf>
    <xf numFmtId="0" fontId="1" fillId="26" borderId="25" xfId="0" applyFont="1" applyFill="1" applyBorder="1" applyAlignment="1">
      <alignment horizontal="left" wrapText="1"/>
    </xf>
    <xf numFmtId="0" fontId="1" fillId="26" borderId="45" xfId="0" applyFont="1" applyFill="1" applyBorder="1" applyAlignment="1">
      <alignment horizontal="left" wrapText="1"/>
    </xf>
    <xf numFmtId="0" fontId="65" fillId="23" borderId="0" xfId="0" applyFont="1" applyFill="1" applyAlignment="1">
      <alignment horizontal="left" wrapText="1"/>
    </xf>
    <xf numFmtId="0" fontId="65" fillId="23" borderId="0" xfId="0" applyFont="1" applyFill="1" applyAlignment="1">
      <alignment wrapText="1"/>
    </xf>
    <xf numFmtId="0" fontId="66" fillId="33" borderId="1" xfId="0" applyFont="1" applyFill="1" applyBorder="1" applyAlignment="1">
      <alignment wrapText="1"/>
    </xf>
    <xf numFmtId="0" fontId="54" fillId="33" borderId="1" xfId="9" applyFont="1" applyFill="1" applyBorder="1" applyAlignment="1">
      <alignment wrapText="1"/>
    </xf>
    <xf numFmtId="0" fontId="50" fillId="23" borderId="64" xfId="0" applyFont="1" applyFill="1" applyBorder="1" applyAlignment="1">
      <alignment horizontal="left" wrapText="1"/>
    </xf>
    <xf numFmtId="49" fontId="53" fillId="23" borderId="0" xfId="0" applyNumberFormat="1" applyFont="1" applyFill="1" applyAlignment="1">
      <alignment horizontal="right"/>
    </xf>
    <xf numFmtId="0" fontId="0" fillId="23" borderId="48" xfId="0" applyFill="1" applyBorder="1" applyAlignment="1">
      <alignment wrapText="1"/>
    </xf>
    <xf numFmtId="0" fontId="1" fillId="26" borderId="25" xfId="0" applyFont="1" applyFill="1" applyBorder="1"/>
    <xf numFmtId="173" fontId="0" fillId="23" borderId="47" xfId="3" applyNumberFormat="1" applyFont="1" applyFill="1" applyBorder="1"/>
    <xf numFmtId="0" fontId="1" fillId="26" borderId="45" xfId="0" applyFont="1" applyFill="1" applyBorder="1"/>
    <xf numFmtId="173" fontId="0" fillId="23" borderId="51" xfId="3" applyNumberFormat="1" applyFont="1" applyFill="1" applyBorder="1"/>
    <xf numFmtId="173" fontId="0" fillId="23" borderId="50" xfId="3" applyNumberFormat="1" applyFont="1" applyFill="1" applyBorder="1"/>
    <xf numFmtId="173" fontId="0" fillId="23" borderId="48" xfId="3" applyNumberFormat="1" applyFont="1" applyFill="1" applyBorder="1"/>
    <xf numFmtId="164" fontId="0" fillId="23" borderId="51" xfId="1" applyNumberFormat="1" applyFont="1" applyFill="1" applyBorder="1"/>
    <xf numFmtId="164" fontId="0" fillId="23" borderId="50" xfId="1" applyNumberFormat="1" applyFont="1" applyFill="1" applyBorder="1"/>
    <xf numFmtId="164" fontId="0" fillId="23" borderId="48" xfId="1" applyNumberFormat="1" applyFont="1" applyFill="1" applyBorder="1"/>
    <xf numFmtId="0" fontId="68" fillId="23" borderId="48" xfId="0" applyFont="1" applyFill="1" applyBorder="1" applyAlignment="1">
      <alignment horizontal="right" wrapText="1"/>
    </xf>
    <xf numFmtId="3" fontId="68" fillId="23" borderId="48" xfId="0" applyNumberFormat="1" applyFont="1" applyFill="1" applyBorder="1" applyAlignment="1">
      <alignment wrapText="1"/>
    </xf>
    <xf numFmtId="0" fontId="68" fillId="23" borderId="47" xfId="0" applyFont="1" applyFill="1" applyBorder="1" applyAlignment="1">
      <alignment horizontal="right" wrapText="1"/>
    </xf>
    <xf numFmtId="3" fontId="68" fillId="23" borderId="47" xfId="0" applyNumberFormat="1" applyFont="1" applyFill="1" applyBorder="1" applyAlignment="1">
      <alignment wrapText="1"/>
    </xf>
    <xf numFmtId="0" fontId="69" fillId="26" borderId="25" xfId="0" applyFont="1" applyFill="1" applyBorder="1" applyAlignment="1">
      <alignment wrapText="1"/>
    </xf>
    <xf numFmtId="49" fontId="68" fillId="23" borderId="51" xfId="0" applyNumberFormat="1" applyFont="1" applyFill="1" applyBorder="1" applyAlignment="1">
      <alignment horizontal="right"/>
    </xf>
    <xf numFmtId="3" fontId="68" fillId="23" borderId="51" xfId="0" applyNumberFormat="1" applyFont="1" applyFill="1" applyBorder="1"/>
    <xf numFmtId="49" fontId="68" fillId="23" borderId="50" xfId="0" applyNumberFormat="1" applyFont="1" applyFill="1" applyBorder="1" applyAlignment="1">
      <alignment horizontal="right"/>
    </xf>
    <xf numFmtId="3" fontId="68" fillId="23" borderId="50" xfId="0" applyNumberFormat="1" applyFont="1" applyFill="1" applyBorder="1"/>
    <xf numFmtId="49" fontId="68" fillId="23" borderId="48" xfId="0" applyNumberFormat="1" applyFont="1" applyFill="1" applyBorder="1" applyAlignment="1">
      <alignment horizontal="right"/>
    </xf>
    <xf numFmtId="3" fontId="68" fillId="23" borderId="48" xfId="0" applyNumberFormat="1" applyFont="1" applyFill="1" applyBorder="1"/>
    <xf numFmtId="0" fontId="53" fillId="23" borderId="0" xfId="0" applyFont="1" applyFill="1" applyAlignment="1">
      <alignment horizontal="left" wrapText="1"/>
    </xf>
    <xf numFmtId="0" fontId="56" fillId="33" borderId="1" xfId="0" applyFont="1" applyFill="1" applyBorder="1" applyAlignment="1">
      <alignment horizontal="left" wrapText="1"/>
    </xf>
    <xf numFmtId="0" fontId="35" fillId="23" borderId="0" xfId="0" applyFont="1" applyFill="1" applyAlignment="1">
      <alignment horizontal="left" vertical="center" wrapText="1"/>
    </xf>
    <xf numFmtId="0" fontId="53" fillId="23" borderId="0" xfId="0" applyFont="1" applyFill="1" applyAlignment="1">
      <alignment horizontal="left"/>
    </xf>
    <xf numFmtId="43" fontId="0" fillId="42" borderId="47" xfId="1" applyFont="1" applyFill="1" applyBorder="1" applyAlignment="1" applyProtection="1">
      <alignment horizontal="left"/>
      <protection locked="0"/>
    </xf>
    <xf numFmtId="0" fontId="70" fillId="33" borderId="1" xfId="0" applyFont="1" applyFill="1" applyBorder="1"/>
    <xf numFmtId="0" fontId="1" fillId="23" borderId="0" xfId="0" applyFont="1" applyFill="1" applyAlignment="1">
      <alignment horizontal="left" vertical="center"/>
    </xf>
    <xf numFmtId="0" fontId="1" fillId="23" borderId="0" xfId="0" applyFont="1" applyFill="1" applyAlignment="1">
      <alignment vertical="center"/>
    </xf>
    <xf numFmtId="43" fontId="0" fillId="0" borderId="47" xfId="1" applyFont="1" applyFill="1" applyBorder="1" applyAlignment="1" applyProtection="1">
      <alignment horizontal="left"/>
      <protection locked="0"/>
    </xf>
    <xf numFmtId="43" fontId="47" fillId="23" borderId="0" xfId="1" applyFont="1" applyFill="1" applyAlignment="1">
      <alignment horizontal="left"/>
    </xf>
    <xf numFmtId="43" fontId="0" fillId="23" borderId="0" xfId="1" applyFont="1" applyFill="1" applyAlignment="1">
      <alignment horizontal="left"/>
    </xf>
    <xf numFmtId="43" fontId="0" fillId="23" borderId="0" xfId="1" applyFont="1" applyFill="1" applyBorder="1" applyAlignment="1"/>
    <xf numFmtId="43" fontId="35" fillId="23" borderId="47" xfId="1" applyFont="1" applyFill="1" applyBorder="1" applyAlignment="1">
      <alignment horizontal="left"/>
    </xf>
    <xf numFmtId="43" fontId="0" fillId="23" borderId="47" xfId="1" applyFont="1" applyFill="1" applyBorder="1" applyAlignment="1">
      <alignment horizontal="left"/>
    </xf>
    <xf numFmtId="43" fontId="35" fillId="42" borderId="47" xfId="1" applyFont="1" applyFill="1" applyBorder="1" applyAlignment="1" applyProtection="1">
      <alignment horizontal="left"/>
      <protection locked="0"/>
    </xf>
    <xf numFmtId="0" fontId="1" fillId="42" borderId="0" xfId="0" applyFont="1" applyFill="1" applyAlignment="1">
      <alignment horizontal="left" vertical="center"/>
    </xf>
    <xf numFmtId="43" fontId="0" fillId="0" borderId="47" xfId="1" applyFont="1" applyFill="1" applyBorder="1" applyAlignment="1" applyProtection="1">
      <protection locked="0"/>
    </xf>
    <xf numFmtId="43" fontId="0" fillId="42" borderId="47" xfId="1" applyFont="1" applyFill="1" applyBorder="1" applyAlignment="1" applyProtection="1">
      <protection locked="0"/>
    </xf>
    <xf numFmtId="43" fontId="35" fillId="0" borderId="47" xfId="1" applyFont="1" applyFill="1" applyBorder="1" applyAlignment="1"/>
    <xf numFmtId="43" fontId="47" fillId="23" borderId="0" xfId="1" applyFont="1" applyFill="1" applyBorder="1" applyAlignment="1"/>
    <xf numFmtId="43" fontId="0" fillId="23" borderId="47" xfId="1" applyFont="1" applyFill="1" applyBorder="1" applyAlignment="1"/>
    <xf numFmtId="43" fontId="58" fillId="23" borderId="0" xfId="1" applyFont="1" applyFill="1" applyBorder="1" applyAlignment="1">
      <alignment vertical="center" wrapText="1"/>
    </xf>
    <xf numFmtId="43" fontId="35" fillId="42" borderId="48" xfId="1" applyFont="1" applyFill="1" applyBorder="1" applyAlignment="1" applyProtection="1">
      <protection locked="0"/>
    </xf>
    <xf numFmtId="43" fontId="35" fillId="42" borderId="47" xfId="1" applyFont="1" applyFill="1" applyBorder="1" applyAlignment="1" applyProtection="1">
      <protection locked="0"/>
    </xf>
    <xf numFmtId="43" fontId="0" fillId="42" borderId="48" xfId="1" applyFont="1" applyFill="1" applyBorder="1" applyAlignment="1" applyProtection="1">
      <protection locked="0"/>
    </xf>
    <xf numFmtId="0" fontId="53" fillId="0" borderId="0" xfId="0" applyFont="1" applyAlignment="1">
      <alignment horizontal="left" wrapText="1"/>
    </xf>
    <xf numFmtId="0" fontId="53" fillId="0" borderId="0" xfId="0" applyFont="1" applyAlignment="1">
      <alignment horizontal="left"/>
    </xf>
    <xf numFmtId="0" fontId="61" fillId="23" borderId="0" xfId="0" applyFont="1" applyFill="1" applyAlignment="1">
      <alignment wrapText="1"/>
    </xf>
    <xf numFmtId="43" fontId="0" fillId="42" borderId="47" xfId="1" applyFont="1" applyFill="1" applyBorder="1" applyAlignment="1" applyProtection="1">
      <alignment wrapText="1"/>
      <protection locked="0"/>
    </xf>
    <xf numFmtId="0" fontId="53" fillId="0" borderId="1" xfId="0" applyFont="1" applyBorder="1" applyAlignment="1">
      <alignment horizontal="left" wrapText="1"/>
    </xf>
    <xf numFmtId="0" fontId="56" fillId="33" borderId="1" xfId="0" applyFont="1" applyFill="1" applyBorder="1" applyAlignment="1">
      <alignment wrapText="1"/>
    </xf>
    <xf numFmtId="0" fontId="35" fillId="23" borderId="0" xfId="0" applyFont="1" applyFill="1" applyAlignment="1">
      <alignment vertical="center" wrapText="1"/>
    </xf>
    <xf numFmtId="0" fontId="53" fillId="23" borderId="2" xfId="0" applyFont="1" applyFill="1" applyBorder="1" applyAlignment="1">
      <alignment wrapText="1"/>
    </xf>
    <xf numFmtId="170" fontId="53" fillId="23" borderId="0" xfId="0" applyNumberFormat="1" applyFont="1" applyFill="1" applyAlignment="1">
      <alignment wrapText="1"/>
    </xf>
    <xf numFmtId="0" fontId="53" fillId="0" borderId="56" xfId="0" applyFont="1" applyBorder="1" applyAlignment="1">
      <alignment horizontal="left" wrapText="1"/>
    </xf>
    <xf numFmtId="0" fontId="35" fillId="0" borderId="1" xfId="0" applyFont="1" applyBorder="1" applyAlignment="1">
      <alignment horizontal="left"/>
    </xf>
    <xf numFmtId="0" fontId="0" fillId="0" borderId="1" xfId="0" applyBorder="1" applyAlignment="1">
      <alignment horizontal="left"/>
    </xf>
    <xf numFmtId="0" fontId="53" fillId="0" borderId="54" xfId="0" applyFont="1" applyBorder="1" applyAlignment="1">
      <alignment wrapText="1"/>
    </xf>
    <xf numFmtId="0" fontId="61" fillId="0" borderId="1" xfId="0" applyFont="1" applyBorder="1"/>
    <xf numFmtId="9" fontId="0" fillId="0" borderId="47" xfId="0" applyNumberFormat="1" applyBorder="1" applyAlignment="1">
      <alignment horizontal="left" wrapText="1"/>
    </xf>
    <xf numFmtId="0" fontId="53" fillId="0" borderId="47" xfId="0" applyFont="1" applyBorder="1" applyAlignment="1">
      <alignment horizontal="left"/>
    </xf>
    <xf numFmtId="0" fontId="35" fillId="23" borderId="0" xfId="0" applyFont="1" applyFill="1" applyAlignment="1">
      <alignment horizontal="left" wrapText="1" indent="2"/>
    </xf>
    <xf numFmtId="0" fontId="0" fillId="0" borderId="0" xfId="0" applyAlignment="1">
      <alignment horizontal="left"/>
    </xf>
    <xf numFmtId="9" fontId="0" fillId="42" borderId="44" xfId="3" applyFont="1" applyFill="1" applyBorder="1" applyAlignment="1" applyProtection="1">
      <alignment horizontal="left"/>
      <protection locked="0"/>
    </xf>
    <xf numFmtId="43" fontId="35" fillId="23" borderId="44" xfId="1" applyFont="1" applyFill="1" applyBorder="1" applyAlignment="1">
      <alignment horizontal="left"/>
    </xf>
    <xf numFmtId="0" fontId="35" fillId="23" borderId="0" xfId="0" applyFont="1" applyFill="1" applyAlignment="1">
      <alignment horizontal="left" indent="3"/>
    </xf>
    <xf numFmtId="0" fontId="35" fillId="23" borderId="0" xfId="0" applyFont="1" applyFill="1" applyAlignment="1">
      <alignment horizontal="left" wrapText="1" indent="3"/>
    </xf>
    <xf numFmtId="0" fontId="53" fillId="0" borderId="0" xfId="0" applyFont="1" applyAlignment="1">
      <alignment wrapText="1"/>
    </xf>
    <xf numFmtId="0" fontId="35" fillId="23" borderId="2" xfId="0" applyFont="1" applyFill="1" applyBorder="1" applyAlignment="1">
      <alignment horizontal="left" wrapText="1" indent="3"/>
    </xf>
    <xf numFmtId="0" fontId="0" fillId="42" borderId="44" xfId="0" applyFill="1" applyBorder="1" applyAlignment="1" applyProtection="1">
      <alignment horizontal="left"/>
      <protection locked="0"/>
    </xf>
    <xf numFmtId="43" fontId="0" fillId="42" borderId="44" xfId="1" applyFont="1" applyFill="1" applyBorder="1" applyAlignment="1" applyProtection="1">
      <alignment horizontal="left"/>
      <protection locked="0"/>
    </xf>
    <xf numFmtId="9" fontId="0" fillId="0" borderId="47" xfId="0" applyNumberFormat="1" applyBorder="1" applyAlignment="1">
      <alignment wrapText="1"/>
    </xf>
    <xf numFmtId="164" fontId="0" fillId="0" borderId="47" xfId="1" applyNumberFormat="1" applyFont="1" applyFill="1" applyBorder="1" applyAlignment="1">
      <alignment horizontal="left"/>
    </xf>
    <xf numFmtId="0" fontId="0" fillId="23" borderId="0" xfId="0" applyFill="1" applyAlignment="1">
      <alignment horizontal="left" wrapText="1" indent="3"/>
    </xf>
    <xf numFmtId="0" fontId="0" fillId="23" borderId="0" xfId="0" applyFill="1" applyAlignment="1">
      <alignment horizontal="left" indent="3"/>
    </xf>
    <xf numFmtId="9" fontId="48" fillId="0" borderId="47" xfId="9" applyNumberFormat="1" applyFill="1" applyBorder="1" applyAlignment="1">
      <alignment wrapText="1"/>
    </xf>
    <xf numFmtId="0" fontId="53" fillId="0" borderId="47" xfId="0" applyFont="1" applyBorder="1" applyAlignment="1">
      <alignment horizontal="left" wrapText="1"/>
    </xf>
    <xf numFmtId="43" fontId="1" fillId="23" borderId="47" xfId="1" applyFont="1" applyFill="1" applyBorder="1" applyAlignment="1">
      <alignment horizontal="left"/>
    </xf>
    <xf numFmtId="43" fontId="0" fillId="0" borderId="47" xfId="1" applyFont="1" applyFill="1" applyBorder="1" applyAlignment="1">
      <alignment horizontal="left" wrapText="1"/>
    </xf>
    <xf numFmtId="9" fontId="48" fillId="0" borderId="51" xfId="9" applyNumberFormat="1" applyFill="1" applyBorder="1" applyAlignment="1">
      <alignment wrapText="1"/>
    </xf>
    <xf numFmtId="43" fontId="0" fillId="0" borderId="48" xfId="1" applyFont="1" applyFill="1" applyBorder="1" applyAlignment="1">
      <alignment horizontal="left" wrapText="1"/>
    </xf>
    <xf numFmtId="0" fontId="53" fillId="0" borderId="1" xfId="0" applyFont="1" applyBorder="1" applyAlignment="1">
      <alignment wrapText="1"/>
    </xf>
    <xf numFmtId="0" fontId="54" fillId="0" borderId="1" xfId="9" applyFont="1" applyFill="1" applyBorder="1" applyAlignment="1">
      <alignment wrapText="1"/>
    </xf>
    <xf numFmtId="43" fontId="0" fillId="42" borderId="44" xfId="1" applyFont="1" applyFill="1" applyBorder="1" applyAlignment="1" applyProtection="1">
      <protection locked="0"/>
    </xf>
    <xf numFmtId="0" fontId="58" fillId="0" borderId="0" xfId="0" applyFont="1" applyAlignment="1">
      <alignment horizontal="left" vertical="center" wrapText="1"/>
    </xf>
    <xf numFmtId="43" fontId="0" fillId="42" borderId="52" xfId="1" applyFont="1" applyFill="1" applyBorder="1" applyAlignment="1" applyProtection="1">
      <protection locked="0"/>
    </xf>
    <xf numFmtId="0" fontId="35" fillId="0" borderId="47" xfId="0" applyFont="1" applyBorder="1" applyAlignment="1">
      <alignment horizontal="left" wrapText="1"/>
    </xf>
    <xf numFmtId="164" fontId="35" fillId="42" borderId="44" xfId="1" applyNumberFormat="1" applyFont="1" applyFill="1" applyBorder="1" applyAlignment="1" applyProtection="1">
      <protection locked="0"/>
    </xf>
    <xf numFmtId="49" fontId="0" fillId="0" borderId="47" xfId="0" applyNumberFormat="1" applyBorder="1" applyAlignment="1">
      <alignment wrapText="1"/>
    </xf>
    <xf numFmtId="164" fontId="0" fillId="0" borderId="47" xfId="1" applyNumberFormat="1" applyFont="1" applyFill="1" applyBorder="1" applyAlignment="1">
      <alignment horizontal="left" wrapText="1"/>
    </xf>
    <xf numFmtId="0" fontId="1" fillId="23" borderId="0" xfId="0" applyFont="1" applyFill="1" applyAlignment="1">
      <alignment vertical="center" wrapText="1"/>
    </xf>
    <xf numFmtId="0" fontId="35" fillId="23" borderId="59" xfId="0" applyFont="1" applyFill="1" applyBorder="1" applyAlignment="1">
      <alignment horizontal="left" indent="3"/>
    </xf>
    <xf numFmtId="164" fontId="0" fillId="0" borderId="47" xfId="1" applyNumberFormat="1" applyFont="1" applyFill="1" applyBorder="1" applyAlignment="1">
      <alignment wrapText="1"/>
    </xf>
    <xf numFmtId="164" fontId="0" fillId="0" borderId="47" xfId="0" applyNumberFormat="1" applyBorder="1"/>
    <xf numFmtId="0" fontId="52" fillId="23" borderId="0" xfId="0" applyFont="1" applyFill="1" applyAlignment="1">
      <alignment horizontal="left" vertical="center" wrapText="1"/>
    </xf>
    <xf numFmtId="172" fontId="0" fillId="0" borderId="47" xfId="0" applyNumberFormat="1" applyBorder="1" applyAlignment="1">
      <alignment horizontal="left" wrapText="1"/>
    </xf>
    <xf numFmtId="2" fontId="0" fillId="0" borderId="47" xfId="0" applyNumberFormat="1" applyBorder="1" applyAlignment="1">
      <alignment horizontal="left" wrapText="1"/>
    </xf>
    <xf numFmtId="43" fontId="1" fillId="23" borderId="0" xfId="1" applyFont="1" applyFill="1" applyBorder="1" applyAlignment="1">
      <alignment horizontal="left"/>
    </xf>
    <xf numFmtId="0" fontId="47" fillId="0" borderId="47" xfId="0" applyFont="1" applyBorder="1"/>
    <xf numFmtId="164" fontId="0" fillId="42" borderId="47" xfId="1" applyNumberFormat="1" applyFont="1" applyFill="1" applyBorder="1" applyAlignment="1"/>
    <xf numFmtId="164" fontId="0" fillId="42" borderId="47" xfId="1" applyNumberFormat="1" applyFont="1" applyFill="1" applyBorder="1" applyAlignment="1">
      <alignment horizontal="left"/>
    </xf>
    <xf numFmtId="164" fontId="0" fillId="42" borderId="44" xfId="1" applyNumberFormat="1" applyFont="1" applyFill="1" applyBorder="1" applyAlignment="1">
      <alignment horizontal="left"/>
    </xf>
    <xf numFmtId="0" fontId="71" fillId="0" borderId="0" xfId="0" applyFont="1" applyAlignment="1">
      <alignment wrapText="1"/>
    </xf>
    <xf numFmtId="0" fontId="71" fillId="0" borderId="0" xfId="0" applyFont="1" applyAlignment="1">
      <alignment horizontal="center" wrapText="1"/>
    </xf>
    <xf numFmtId="0" fontId="0" fillId="23" borderId="0" xfId="0" applyFill="1" applyAlignment="1">
      <alignment horizontal="left" wrapText="1"/>
    </xf>
    <xf numFmtId="0" fontId="73" fillId="23" borderId="0" xfId="9" applyFont="1" applyFill="1" applyAlignment="1">
      <alignment horizontal="center"/>
    </xf>
    <xf numFmtId="43" fontId="0" fillId="42" borderId="60" xfId="1" applyFont="1" applyFill="1" applyBorder="1" applyAlignment="1" applyProtection="1">
      <alignment horizontal="left"/>
      <protection locked="0"/>
    </xf>
    <xf numFmtId="0" fontId="0" fillId="23" borderId="0" xfId="0" applyFill="1" applyAlignment="1" applyProtection="1">
      <alignment vertical="top" wrapText="1"/>
      <protection hidden="1"/>
    </xf>
    <xf numFmtId="0" fontId="54" fillId="23" borderId="0" xfId="9" applyFont="1" applyFill="1" applyAlignment="1" applyProtection="1">
      <alignment vertical="top" wrapText="1"/>
      <protection hidden="1"/>
    </xf>
    <xf numFmtId="0" fontId="48" fillId="23" borderId="0" xfId="9" applyFill="1" applyAlignment="1" applyProtection="1">
      <alignment vertical="top" wrapText="1"/>
      <protection hidden="1"/>
    </xf>
    <xf numFmtId="0" fontId="83" fillId="23" borderId="0" xfId="0" applyFont="1" applyFill="1" applyAlignment="1" applyProtection="1">
      <alignment vertical="top" wrapText="1"/>
      <protection hidden="1"/>
    </xf>
    <xf numFmtId="0" fontId="82" fillId="23" borderId="0" xfId="0" applyFont="1" applyFill="1" applyAlignment="1" applyProtection="1">
      <alignment vertical="top" wrapText="1"/>
      <protection hidden="1"/>
    </xf>
    <xf numFmtId="0" fontId="82" fillId="0" borderId="0" xfId="0" applyFont="1" applyAlignment="1" applyProtection="1">
      <alignment vertical="top" wrapText="1"/>
      <protection hidden="1"/>
    </xf>
    <xf numFmtId="0" fontId="51" fillId="43" borderId="0" xfId="0" applyFont="1" applyFill="1" applyAlignment="1" applyProtection="1">
      <alignment vertical="top" wrapText="1"/>
      <protection hidden="1"/>
    </xf>
    <xf numFmtId="0" fontId="51" fillId="32" borderId="0" xfId="0" applyFont="1" applyFill="1" applyAlignment="1" applyProtection="1">
      <alignment vertical="top" wrapText="1"/>
      <protection hidden="1"/>
    </xf>
    <xf numFmtId="0" fontId="0" fillId="0" borderId="0" xfId="0" applyAlignment="1" applyProtection="1">
      <alignment vertical="top" wrapText="1"/>
      <protection hidden="1"/>
    </xf>
    <xf numFmtId="0" fontId="1" fillId="23" borderId="0" xfId="0" applyFont="1" applyFill="1" applyAlignment="1" applyProtection="1">
      <alignment vertical="top" wrapText="1"/>
      <protection hidden="1"/>
    </xf>
    <xf numFmtId="0" fontId="80" fillId="23" borderId="0" xfId="0" applyFont="1" applyFill="1" applyAlignment="1" applyProtection="1">
      <alignment vertical="top" wrapText="1"/>
      <protection hidden="1"/>
    </xf>
    <xf numFmtId="0" fontId="81" fillId="23" borderId="0" xfId="0" applyFont="1" applyFill="1" applyAlignment="1" applyProtection="1">
      <alignment vertical="top" wrapText="1"/>
      <protection hidden="1"/>
    </xf>
    <xf numFmtId="1" fontId="0" fillId="23" borderId="47" xfId="0" applyNumberFormat="1" applyFill="1" applyBorder="1" applyAlignment="1" applyProtection="1">
      <alignment horizontal="center" vertical="top" wrapText="1"/>
      <protection hidden="1"/>
    </xf>
    <xf numFmtId="0" fontId="48" fillId="0" borderId="0" xfId="9" applyProtection="1"/>
    <xf numFmtId="0" fontId="0" fillId="0" borderId="0" xfId="0" applyProtection="1">
      <protection locked="0"/>
    </xf>
    <xf numFmtId="0" fontId="86" fillId="0" borderId="0" xfId="0" applyFont="1" applyProtection="1">
      <protection locked="0"/>
    </xf>
    <xf numFmtId="0" fontId="48" fillId="0" borderId="0" xfId="9" applyProtection="1">
      <protection locked="0"/>
    </xf>
    <xf numFmtId="0" fontId="48" fillId="0" borderId="0" xfId="9" applyProtection="1">
      <protection hidden="1"/>
    </xf>
    <xf numFmtId="0" fontId="49" fillId="23" borderId="0" xfId="0" applyFont="1" applyFill="1" applyAlignment="1" applyProtection="1">
      <alignment vertical="top" wrapText="1"/>
      <protection hidden="1"/>
    </xf>
    <xf numFmtId="0" fontId="50" fillId="23" borderId="0" xfId="0" applyFont="1" applyFill="1" applyAlignment="1" applyProtection="1">
      <alignment horizontal="left" vertical="top" wrapText="1"/>
      <protection hidden="1"/>
    </xf>
    <xf numFmtId="0" fontId="50" fillId="23" borderId="11" xfId="0" applyFont="1" applyFill="1" applyBorder="1" applyAlignment="1" applyProtection="1">
      <alignment horizontal="left" vertical="top" wrapText="1"/>
      <protection hidden="1"/>
    </xf>
    <xf numFmtId="0" fontId="34" fillId="43" borderId="0" xfId="0" applyFont="1" applyFill="1" applyAlignment="1" applyProtection="1">
      <alignment horizontal="left" vertical="top" wrapText="1"/>
      <protection hidden="1"/>
    </xf>
    <xf numFmtId="0" fontId="34" fillId="43" borderId="0" xfId="0" applyFont="1" applyFill="1" applyAlignment="1" applyProtection="1">
      <alignment vertical="top" wrapText="1"/>
      <protection hidden="1"/>
    </xf>
    <xf numFmtId="0" fontId="34" fillId="32" borderId="0" xfId="0" applyFont="1" applyFill="1" applyAlignment="1" applyProtection="1">
      <alignment horizontal="left" vertical="top" wrapText="1"/>
      <protection hidden="1"/>
    </xf>
    <xf numFmtId="0" fontId="59" fillId="32" borderId="0" xfId="0" applyFont="1" applyFill="1" applyAlignment="1" applyProtection="1">
      <alignment horizontal="left" vertical="top" wrapText="1"/>
      <protection hidden="1"/>
    </xf>
    <xf numFmtId="4" fontId="0" fillId="23" borderId="0" xfId="0" applyNumberFormat="1" applyFill="1" applyAlignment="1" applyProtection="1">
      <alignment vertical="top" wrapText="1"/>
      <protection hidden="1"/>
    </xf>
    <xf numFmtId="9" fontId="0" fillId="23" borderId="0" xfId="3" applyFont="1" applyFill="1" applyAlignment="1" applyProtection="1">
      <alignment vertical="top" wrapText="1"/>
      <protection hidden="1"/>
    </xf>
    <xf numFmtId="0" fontId="63" fillId="23" borderId="0" xfId="0" applyFont="1" applyFill="1" applyAlignment="1" applyProtection="1">
      <alignment vertical="top" wrapText="1"/>
      <protection hidden="1"/>
    </xf>
    <xf numFmtId="3" fontId="0" fillId="23" borderId="0" xfId="0" applyNumberFormat="1" applyFill="1" applyAlignment="1" applyProtection="1">
      <alignment vertical="top" wrapText="1"/>
      <protection hidden="1"/>
    </xf>
    <xf numFmtId="3" fontId="59" fillId="32" borderId="0" xfId="0" applyNumberFormat="1" applyFont="1" applyFill="1" applyAlignment="1" applyProtection="1">
      <alignment horizontal="left" vertical="top" wrapText="1"/>
      <protection hidden="1"/>
    </xf>
    <xf numFmtId="0" fontId="47" fillId="23" borderId="0" xfId="0" applyFont="1" applyFill="1" applyAlignment="1" applyProtection="1">
      <alignment vertical="top" wrapText="1"/>
      <protection hidden="1"/>
    </xf>
    <xf numFmtId="0" fontId="1" fillId="23" borderId="7" xfId="0" applyFont="1" applyFill="1" applyBorder="1" applyAlignment="1" applyProtection="1">
      <alignment vertical="top" wrapText="1"/>
      <protection hidden="1"/>
    </xf>
    <xf numFmtId="3" fontId="1" fillId="23" borderId="7" xfId="0" applyNumberFormat="1" applyFont="1" applyFill="1" applyBorder="1" applyAlignment="1" applyProtection="1">
      <alignment vertical="top" wrapText="1"/>
      <protection hidden="1"/>
    </xf>
    <xf numFmtId="0" fontId="1" fillId="33" borderId="0" xfId="0" applyFont="1" applyFill="1" applyAlignment="1" applyProtection="1">
      <alignment vertical="top" wrapText="1"/>
      <protection hidden="1"/>
    </xf>
    <xf numFmtId="0" fontId="0" fillId="33" borderId="0" xfId="0" applyFill="1" applyAlignment="1" applyProtection="1">
      <alignment vertical="top" wrapText="1"/>
      <protection hidden="1"/>
    </xf>
    <xf numFmtId="0" fontId="59" fillId="23" borderId="0" xfId="0" applyFont="1" applyFill="1" applyAlignment="1" applyProtection="1">
      <alignment vertical="top" wrapText="1"/>
      <protection hidden="1"/>
    </xf>
    <xf numFmtId="3" fontId="59" fillId="23" borderId="0" xfId="0" applyNumberFormat="1" applyFont="1" applyFill="1" applyAlignment="1" applyProtection="1">
      <alignment vertical="top" wrapText="1"/>
      <protection hidden="1"/>
    </xf>
    <xf numFmtId="171" fontId="59" fillId="23" borderId="0" xfId="0" applyNumberFormat="1" applyFont="1" applyFill="1" applyAlignment="1" applyProtection="1">
      <alignment vertical="top" wrapText="1"/>
      <protection hidden="1"/>
    </xf>
    <xf numFmtId="0" fontId="48" fillId="0" borderId="0" xfId="9" applyProtection="1">
      <protection locked="0" hidden="1"/>
    </xf>
    <xf numFmtId="0" fontId="52" fillId="32" borderId="0" xfId="0" applyFont="1" applyFill="1" applyAlignment="1" applyProtection="1">
      <alignment horizontal="left" vertical="top" wrapText="1"/>
      <protection hidden="1"/>
    </xf>
    <xf numFmtId="9" fontId="0" fillId="0" borderId="0" xfId="3" applyFont="1" applyFill="1" applyAlignment="1" applyProtection="1">
      <alignment vertical="top" wrapText="1"/>
      <protection hidden="1"/>
    </xf>
    <xf numFmtId="3" fontId="0" fillId="0" borderId="0" xfId="0" applyNumberFormat="1" applyAlignment="1" applyProtection="1">
      <alignment vertical="top" wrapText="1"/>
      <protection hidden="1"/>
    </xf>
    <xf numFmtId="0" fontId="52" fillId="32" borderId="0" xfId="0" applyFont="1" applyFill="1" applyAlignment="1" applyProtection="1">
      <alignment vertical="top" wrapText="1"/>
      <protection hidden="1"/>
    </xf>
    <xf numFmtId="3" fontId="52" fillId="32" borderId="0" xfId="0" applyNumberFormat="1" applyFont="1" applyFill="1" applyAlignment="1" applyProtection="1">
      <alignment vertical="top" wrapText="1"/>
      <protection hidden="1"/>
    </xf>
    <xf numFmtId="0" fontId="0" fillId="23" borderId="53" xfId="0" applyFill="1" applyBorder="1" applyAlignment="1" applyProtection="1">
      <alignment vertical="top" wrapText="1"/>
      <protection hidden="1"/>
    </xf>
    <xf numFmtId="3" fontId="0" fillId="23" borderId="53" xfId="0" applyNumberFormat="1" applyFill="1" applyBorder="1" applyAlignment="1" applyProtection="1">
      <alignment vertical="top" wrapText="1"/>
      <protection hidden="1"/>
    </xf>
    <xf numFmtId="0" fontId="53" fillId="23" borderId="0" xfId="0" applyFont="1" applyFill="1" applyAlignment="1" applyProtection="1">
      <alignment vertical="top" wrapText="1"/>
      <protection hidden="1"/>
    </xf>
    <xf numFmtId="3" fontId="1" fillId="33" borderId="0" xfId="0" applyNumberFormat="1" applyFont="1" applyFill="1" applyAlignment="1" applyProtection="1">
      <alignment vertical="top" wrapText="1"/>
      <protection hidden="1"/>
    </xf>
    <xf numFmtId="3" fontId="1" fillId="0" borderId="0" xfId="0" applyNumberFormat="1" applyFont="1" applyAlignment="1" applyProtection="1">
      <alignment vertical="top" wrapText="1"/>
      <protection hidden="1"/>
    </xf>
    <xf numFmtId="9" fontId="1" fillId="0" borderId="0" xfId="3" applyFont="1" applyFill="1" applyAlignment="1" applyProtection="1">
      <alignment vertical="top" wrapText="1"/>
      <protection hidden="1"/>
    </xf>
    <xf numFmtId="3" fontId="0" fillId="42" borderId="0" xfId="0" applyNumberFormat="1" applyFill="1" applyAlignment="1" applyProtection="1">
      <alignment vertical="top" wrapText="1"/>
      <protection locked="0" hidden="1"/>
    </xf>
    <xf numFmtId="0" fontId="48" fillId="23" borderId="0" xfId="9" applyFill="1" applyAlignment="1">
      <alignment horizontal="left" vertical="center"/>
    </xf>
    <xf numFmtId="0" fontId="48" fillId="23" borderId="0" xfId="9" applyFill="1" applyAlignment="1" applyProtection="1">
      <alignment horizontal="left" vertical="center"/>
      <protection locked="0" hidden="1"/>
    </xf>
    <xf numFmtId="0" fontId="0" fillId="49" borderId="0" xfId="0" applyFill="1"/>
    <xf numFmtId="0" fontId="89" fillId="0" borderId="0" xfId="0" applyFont="1"/>
    <xf numFmtId="0" fontId="88" fillId="0" borderId="0" xfId="0" applyFont="1"/>
    <xf numFmtId="0" fontId="87" fillId="0" borderId="0" xfId="0" applyFont="1"/>
    <xf numFmtId="0" fontId="85" fillId="0" borderId="0" xfId="0" applyFont="1"/>
    <xf numFmtId="0" fontId="92" fillId="0" borderId="0" xfId="0" applyFont="1"/>
    <xf numFmtId="0" fontId="0" fillId="0" borderId="0" xfId="0" applyAlignment="1">
      <alignment horizontal="right"/>
    </xf>
    <xf numFmtId="172" fontId="91" fillId="0" borderId="0" xfId="0" quotePrefix="1" applyNumberFormat="1" applyFont="1" applyAlignment="1">
      <alignment horizontal="left"/>
    </xf>
    <xf numFmtId="0" fontId="0" fillId="0" borderId="0" xfId="0" applyProtection="1">
      <protection hidden="1"/>
    </xf>
    <xf numFmtId="0" fontId="0" fillId="23" borderId="0" xfId="0" applyFill="1" applyAlignment="1" applyProtection="1">
      <alignment horizontal="center" vertical="top" wrapText="1"/>
      <protection hidden="1"/>
    </xf>
    <xf numFmtId="0" fontId="35" fillId="23" borderId="0" xfId="0" applyFont="1" applyFill="1" applyAlignment="1" applyProtection="1">
      <alignment vertical="top" wrapText="1"/>
      <protection hidden="1"/>
    </xf>
    <xf numFmtId="0" fontId="35" fillId="23" borderId="0" xfId="0" applyFont="1" applyFill="1" applyAlignment="1" applyProtection="1">
      <alignment horizontal="left" vertical="top" wrapText="1"/>
      <protection hidden="1"/>
    </xf>
    <xf numFmtId="0" fontId="35" fillId="23" borderId="0" xfId="0" applyFont="1" applyFill="1" applyAlignment="1" applyProtection="1">
      <alignment horizontal="center" vertical="top" wrapText="1"/>
      <protection hidden="1"/>
    </xf>
    <xf numFmtId="0" fontId="1" fillId="42" borderId="44" xfId="0" applyFont="1" applyFill="1" applyBorder="1" applyAlignment="1" applyProtection="1">
      <alignment horizontal="center" vertical="top" wrapText="1"/>
      <protection hidden="1"/>
    </xf>
    <xf numFmtId="0" fontId="1" fillId="23" borderId="47" xfId="0" applyFont="1" applyFill="1" applyBorder="1" applyAlignment="1" applyProtection="1">
      <alignment horizontal="center" vertical="top" wrapText="1"/>
      <protection hidden="1"/>
    </xf>
    <xf numFmtId="0" fontId="1" fillId="23" borderId="45" xfId="0" applyFont="1" applyFill="1" applyBorder="1" applyAlignment="1" applyProtection="1">
      <alignment vertical="top" wrapText="1"/>
      <protection hidden="1"/>
    </xf>
    <xf numFmtId="0" fontId="1" fillId="23" borderId="0" xfId="0" applyFont="1" applyFill="1" applyAlignment="1" applyProtection="1">
      <alignment horizontal="left" vertical="top" wrapText="1"/>
      <protection hidden="1"/>
    </xf>
    <xf numFmtId="0" fontId="70" fillId="33" borderId="1" xfId="0" applyFont="1" applyFill="1" applyBorder="1" applyAlignment="1" applyProtection="1">
      <alignment vertical="top" wrapText="1"/>
      <protection hidden="1"/>
    </xf>
    <xf numFmtId="0" fontId="70" fillId="33" borderId="1" xfId="0" applyFont="1" applyFill="1" applyBorder="1" applyAlignment="1" applyProtection="1">
      <alignment horizontal="center" vertical="top" wrapText="1"/>
      <protection hidden="1"/>
    </xf>
    <xf numFmtId="0" fontId="53" fillId="0" borderId="44" xfId="0" applyFont="1" applyBorder="1" applyAlignment="1" applyProtection="1">
      <alignment horizontal="center" vertical="top" wrapText="1"/>
      <protection hidden="1"/>
    </xf>
    <xf numFmtId="0" fontId="53" fillId="23" borderId="72" xfId="0" applyFont="1" applyFill="1" applyBorder="1" applyAlignment="1" applyProtection="1">
      <alignment vertical="top" wrapText="1"/>
      <protection hidden="1"/>
    </xf>
    <xf numFmtId="0" fontId="53" fillId="0" borderId="0" xfId="0" applyFont="1" applyAlignment="1" applyProtection="1">
      <alignment horizontal="center" vertical="top" wrapText="1"/>
      <protection hidden="1"/>
    </xf>
    <xf numFmtId="0" fontId="53" fillId="23" borderId="0" xfId="0" applyFont="1" applyFill="1" applyAlignment="1" applyProtection="1">
      <alignment horizontal="left" vertical="top" wrapText="1"/>
      <protection hidden="1"/>
    </xf>
    <xf numFmtId="0" fontId="0" fillId="0" borderId="0" xfId="0" applyAlignment="1" applyProtection="1">
      <alignment horizontal="center" vertical="top" wrapText="1"/>
      <protection hidden="1"/>
    </xf>
    <xf numFmtId="0" fontId="53" fillId="0" borderId="47" xfId="0" applyFont="1" applyBorder="1" applyAlignment="1" applyProtection="1">
      <alignment horizontal="center" vertical="top" wrapText="1"/>
      <protection hidden="1"/>
    </xf>
    <xf numFmtId="0" fontId="53" fillId="0" borderId="0" xfId="0" applyFont="1" applyAlignment="1" applyProtection="1">
      <alignment vertical="top" wrapText="1"/>
      <protection hidden="1"/>
    </xf>
    <xf numFmtId="0" fontId="55" fillId="23" borderId="0" xfId="0" applyFont="1" applyFill="1" applyAlignment="1" applyProtection="1">
      <alignment vertical="top" wrapText="1"/>
      <protection hidden="1"/>
    </xf>
    <xf numFmtId="0" fontId="0" fillId="23" borderId="44" xfId="0" applyFill="1" applyBorder="1" applyAlignment="1" applyProtection="1">
      <alignment horizontal="center" vertical="top" wrapText="1"/>
      <protection hidden="1"/>
    </xf>
    <xf numFmtId="0" fontId="61" fillId="23" borderId="0" xfId="0" applyFont="1" applyFill="1" applyAlignment="1" applyProtection="1">
      <alignment vertical="top" wrapText="1"/>
      <protection hidden="1"/>
    </xf>
    <xf numFmtId="0" fontId="0" fillId="23" borderId="47" xfId="0" applyFill="1" applyBorder="1" applyAlignment="1" applyProtection="1">
      <alignment horizontal="center" vertical="top" wrapText="1"/>
      <protection hidden="1"/>
    </xf>
    <xf numFmtId="0" fontId="0" fillId="23" borderId="47" xfId="0" applyFill="1" applyBorder="1" applyAlignment="1" applyProtection="1">
      <alignment vertical="top" wrapText="1"/>
      <protection hidden="1"/>
    </xf>
    <xf numFmtId="0" fontId="0" fillId="42" borderId="47" xfId="0" applyFill="1" applyBorder="1" applyAlignment="1" applyProtection="1">
      <alignment horizontal="center" vertical="top" wrapText="1"/>
      <protection locked="0" hidden="1"/>
    </xf>
    <xf numFmtId="2" fontId="0" fillId="42" borderId="47" xfId="3" applyNumberFormat="1" applyFont="1" applyFill="1" applyBorder="1" applyAlignment="1" applyProtection="1">
      <alignment horizontal="center" vertical="top" wrapText="1"/>
      <protection locked="0" hidden="1"/>
    </xf>
    <xf numFmtId="1" fontId="0" fillId="42" borderId="47" xfId="3" applyNumberFormat="1" applyFont="1" applyFill="1" applyBorder="1" applyAlignment="1" applyProtection="1">
      <alignment horizontal="center" vertical="top" wrapText="1"/>
      <protection locked="0" hidden="1"/>
    </xf>
    <xf numFmtId="0" fontId="0" fillId="42" borderId="47" xfId="3" applyNumberFormat="1" applyFont="1" applyFill="1" applyBorder="1" applyAlignment="1" applyProtection="1">
      <alignment horizontal="center" vertical="top" wrapText="1"/>
      <protection locked="0" hidden="1"/>
    </xf>
    <xf numFmtId="1" fontId="0" fillId="42" borderId="51" xfId="3" applyNumberFormat="1" applyFont="1" applyFill="1" applyBorder="1" applyAlignment="1" applyProtection="1">
      <alignment horizontal="center" vertical="top" wrapText="1"/>
      <protection locked="0" hidden="1"/>
    </xf>
    <xf numFmtId="3" fontId="0" fillId="42" borderId="47" xfId="3" applyNumberFormat="1" applyFont="1" applyFill="1" applyBorder="1" applyAlignment="1" applyProtection="1">
      <alignment horizontal="center" vertical="top" wrapText="1"/>
      <protection locked="0" hidden="1"/>
    </xf>
    <xf numFmtId="3" fontId="0" fillId="0" borderId="47" xfId="3" applyNumberFormat="1" applyFont="1" applyFill="1" applyBorder="1" applyAlignment="1" applyProtection="1">
      <alignment horizontal="center" vertical="top" wrapText="1"/>
      <protection locked="0" hidden="1"/>
    </xf>
    <xf numFmtId="9" fontId="0" fillId="0" borderId="47" xfId="0" applyNumberFormat="1" applyBorder="1" applyAlignment="1" applyProtection="1">
      <alignment horizontal="center" vertical="top" wrapText="1"/>
      <protection locked="0" hidden="1"/>
    </xf>
    <xf numFmtId="0" fontId="1" fillId="42" borderId="47" xfId="0" applyFont="1" applyFill="1" applyBorder="1" applyAlignment="1" applyProtection="1">
      <alignment horizontal="center" vertical="top" wrapText="1"/>
      <protection hidden="1"/>
    </xf>
    <xf numFmtId="0" fontId="1" fillId="23" borderId="47" xfId="0" applyFont="1" applyFill="1" applyBorder="1" applyAlignment="1" applyProtection="1">
      <alignment vertical="top" wrapText="1"/>
      <protection hidden="1"/>
    </xf>
    <xf numFmtId="0" fontId="1" fillId="33" borderId="1" xfId="0" applyFont="1" applyFill="1" applyBorder="1" applyAlignment="1" applyProtection="1">
      <alignment horizontal="center" vertical="top" wrapText="1"/>
      <protection hidden="1"/>
    </xf>
    <xf numFmtId="0" fontId="56" fillId="33" borderId="1" xfId="0" applyFont="1" applyFill="1" applyBorder="1" applyAlignment="1" applyProtection="1">
      <alignment vertical="top" wrapText="1"/>
      <protection hidden="1"/>
    </xf>
    <xf numFmtId="0" fontId="0" fillId="33" borderId="1" xfId="0" applyFill="1" applyBorder="1" applyAlignment="1" applyProtection="1">
      <alignment vertical="top" wrapText="1"/>
      <protection hidden="1"/>
    </xf>
    <xf numFmtId="0" fontId="71" fillId="0" borderId="0" xfId="0" applyFont="1" applyAlignment="1" applyProtection="1">
      <alignment horizontal="center" vertical="top" wrapText="1"/>
      <protection hidden="1"/>
    </xf>
    <xf numFmtId="0" fontId="0" fillId="33" borderId="1" xfId="0" applyFill="1" applyBorder="1" applyAlignment="1" applyProtection="1">
      <alignment horizontal="center" vertical="top" wrapText="1"/>
      <protection hidden="1"/>
    </xf>
    <xf numFmtId="0" fontId="53" fillId="33" borderId="1" xfId="0" applyFont="1" applyFill="1" applyBorder="1" applyAlignment="1" applyProtection="1">
      <alignment vertical="top" wrapText="1"/>
      <protection hidden="1"/>
    </xf>
    <xf numFmtId="0" fontId="54" fillId="0" borderId="1" xfId="9" applyFont="1" applyFill="1" applyBorder="1" applyAlignment="1" applyProtection="1">
      <alignment vertical="top" wrapText="1"/>
      <protection hidden="1"/>
    </xf>
    <xf numFmtId="0" fontId="0" fillId="0" borderId="0" xfId="0" quotePrefix="1" applyAlignment="1" applyProtection="1">
      <alignment vertical="top" wrapText="1"/>
      <protection hidden="1"/>
    </xf>
    <xf numFmtId="9" fontId="48" fillId="0" borderId="47" xfId="9" applyNumberFormat="1" applyFill="1" applyBorder="1" applyAlignment="1" applyProtection="1">
      <alignment horizontal="center" vertical="top" wrapText="1"/>
      <protection hidden="1"/>
    </xf>
    <xf numFmtId="0" fontId="53" fillId="23" borderId="47" xfId="0" applyFont="1" applyFill="1" applyBorder="1" applyAlignment="1" applyProtection="1">
      <alignment vertical="top" wrapText="1"/>
      <protection hidden="1"/>
    </xf>
    <xf numFmtId="0" fontId="66" fillId="23" borderId="0" xfId="0" applyFont="1" applyFill="1" applyAlignment="1" applyProtection="1">
      <alignment vertical="top" wrapText="1"/>
      <protection hidden="1"/>
    </xf>
    <xf numFmtId="2" fontId="0" fillId="0" borderId="47" xfId="0" applyNumberFormat="1" applyBorder="1" applyAlignment="1" applyProtection="1">
      <alignment horizontal="center" vertical="top" wrapText="1"/>
      <protection hidden="1"/>
    </xf>
    <xf numFmtId="0" fontId="52" fillId="23" borderId="0" xfId="0" applyFont="1" applyFill="1" applyAlignment="1" applyProtection="1">
      <alignment horizontal="left" vertical="top" wrapText="1"/>
      <protection hidden="1"/>
    </xf>
    <xf numFmtId="3" fontId="0" fillId="0" borderId="47" xfId="3" applyNumberFormat="1" applyFont="1" applyFill="1" applyBorder="1" applyAlignment="1" applyProtection="1">
      <alignment horizontal="center" vertical="top" wrapText="1"/>
      <protection hidden="1"/>
    </xf>
    <xf numFmtId="9" fontId="35" fillId="0" borderId="47" xfId="9" applyNumberFormat="1" applyFont="1" applyFill="1" applyBorder="1" applyAlignment="1" applyProtection="1">
      <alignment horizontal="center" vertical="top" wrapText="1"/>
      <protection hidden="1"/>
    </xf>
    <xf numFmtId="0" fontId="53" fillId="23" borderId="48" xfId="0" applyFont="1" applyFill="1" applyBorder="1" applyAlignment="1" applyProtection="1">
      <alignment vertical="top" wrapText="1"/>
      <protection hidden="1"/>
    </xf>
    <xf numFmtId="43" fontId="47" fillId="23" borderId="0" xfId="1" applyFont="1" applyFill="1" applyAlignment="1" applyProtection="1">
      <alignment horizontal="center" vertical="top" wrapText="1"/>
      <protection hidden="1"/>
    </xf>
    <xf numFmtId="9" fontId="0" fillId="0" borderId="47" xfId="0" applyNumberFormat="1" applyBorder="1" applyAlignment="1" applyProtection="1">
      <alignment horizontal="center" vertical="top" wrapText="1"/>
      <protection hidden="1"/>
    </xf>
    <xf numFmtId="170" fontId="0" fillId="23" borderId="0" xfId="0" applyNumberFormat="1" applyFill="1" applyAlignment="1" applyProtection="1">
      <alignment horizontal="center" vertical="top" wrapText="1"/>
      <protection hidden="1"/>
    </xf>
    <xf numFmtId="0" fontId="53" fillId="33" borderId="1" xfId="0" applyFont="1" applyFill="1" applyBorder="1" applyAlignment="1" applyProtection="1">
      <alignment horizontal="center" vertical="top" wrapText="1"/>
      <protection hidden="1"/>
    </xf>
    <xf numFmtId="172" fontId="0" fillId="0" borderId="47" xfId="0" applyNumberFormat="1" applyBorder="1" applyAlignment="1" applyProtection="1">
      <alignment horizontal="center" vertical="top" wrapText="1"/>
      <protection hidden="1"/>
    </xf>
    <xf numFmtId="43" fontId="0" fillId="23" borderId="0" xfId="1" applyFont="1" applyFill="1" applyAlignment="1" applyProtection="1">
      <alignment horizontal="center" vertical="top" wrapText="1"/>
      <protection hidden="1"/>
    </xf>
    <xf numFmtId="0" fontId="53" fillId="33" borderId="0" xfId="0" applyFont="1" applyFill="1" applyAlignment="1" applyProtection="1">
      <alignment vertical="top" wrapText="1"/>
      <protection hidden="1"/>
    </xf>
    <xf numFmtId="4" fontId="0" fillId="42" borderId="47" xfId="3" applyNumberFormat="1" applyFont="1" applyFill="1" applyBorder="1" applyAlignment="1" applyProtection="1">
      <alignment horizontal="center" vertical="top" wrapText="1"/>
      <protection locked="0" hidden="1"/>
    </xf>
    <xf numFmtId="0" fontId="53" fillId="0" borderId="44" xfId="0" applyFont="1" applyBorder="1" applyAlignment="1" applyProtection="1">
      <alignment horizontal="left" vertical="top" wrapText="1"/>
      <protection hidden="1"/>
    </xf>
    <xf numFmtId="0" fontId="79" fillId="23" borderId="0" xfId="0" applyFont="1" applyFill="1" applyAlignment="1" applyProtection="1">
      <alignment horizontal="left" vertical="top" wrapText="1"/>
      <protection hidden="1"/>
    </xf>
    <xf numFmtId="4" fontId="0" fillId="0" borderId="44" xfId="3" applyNumberFormat="1" applyFont="1" applyFill="1" applyBorder="1" applyAlignment="1" applyProtection="1">
      <alignment horizontal="center" vertical="top" wrapText="1"/>
      <protection hidden="1"/>
    </xf>
    <xf numFmtId="164" fontId="0" fillId="23" borderId="0" xfId="1" applyNumberFormat="1" applyFont="1" applyFill="1" applyAlignment="1" applyProtection="1">
      <alignment vertical="top" wrapText="1"/>
      <protection hidden="1"/>
    </xf>
    <xf numFmtId="4" fontId="0" fillId="0" borderId="25" xfId="3" applyNumberFormat="1" applyFont="1" applyFill="1" applyBorder="1" applyAlignment="1" applyProtection="1">
      <alignment horizontal="center" vertical="top" wrapText="1"/>
      <protection hidden="1"/>
    </xf>
    <xf numFmtId="164" fontId="0" fillId="0" borderId="25" xfId="1" applyNumberFormat="1" applyFont="1" applyFill="1" applyBorder="1" applyAlignment="1" applyProtection="1">
      <alignment vertical="top" wrapText="1"/>
      <protection hidden="1"/>
    </xf>
    <xf numFmtId="164" fontId="0" fillId="0" borderId="44" xfId="1" applyNumberFormat="1" applyFont="1" applyFill="1" applyBorder="1" applyAlignment="1" applyProtection="1">
      <alignment vertical="top" wrapText="1"/>
      <protection hidden="1"/>
    </xf>
    <xf numFmtId="43" fontId="0" fillId="23" borderId="0" xfId="0" applyNumberFormat="1" applyFill="1" applyAlignment="1" applyProtection="1">
      <alignment vertical="top" wrapText="1"/>
      <protection hidden="1"/>
    </xf>
    <xf numFmtId="43" fontId="47" fillId="23" borderId="0" xfId="1" applyFont="1" applyFill="1" applyBorder="1" applyAlignment="1" applyProtection="1">
      <alignment horizontal="center" vertical="top" wrapText="1"/>
      <protection hidden="1"/>
    </xf>
    <xf numFmtId="164" fontId="0" fillId="0" borderId="0" xfId="1" applyNumberFormat="1" applyFont="1" applyFill="1" applyAlignment="1" applyProtection="1">
      <alignment vertical="top" wrapText="1"/>
      <protection hidden="1"/>
    </xf>
    <xf numFmtId="4" fontId="0" fillId="0" borderId="47" xfId="3" applyNumberFormat="1" applyFont="1" applyFill="1" applyBorder="1" applyAlignment="1" applyProtection="1">
      <alignment horizontal="center" vertical="top" wrapText="1"/>
      <protection hidden="1"/>
    </xf>
    <xf numFmtId="43" fontId="0" fillId="23" borderId="0" xfId="1" applyFont="1" applyFill="1" applyBorder="1" applyAlignment="1" applyProtection="1">
      <alignment horizontal="center" vertical="top" wrapText="1"/>
      <protection hidden="1"/>
    </xf>
    <xf numFmtId="43" fontId="58" fillId="23" borderId="0" xfId="1" applyFont="1" applyFill="1" applyBorder="1" applyAlignment="1" applyProtection="1">
      <alignment horizontal="center" vertical="top" wrapText="1"/>
      <protection hidden="1"/>
    </xf>
    <xf numFmtId="0" fontId="58" fillId="0" borderId="0" xfId="0" applyFont="1" applyAlignment="1" applyProtection="1">
      <alignment vertical="top" wrapText="1"/>
      <protection hidden="1"/>
    </xf>
    <xf numFmtId="0" fontId="84" fillId="23" borderId="0" xfId="0" applyFont="1" applyFill="1" applyAlignment="1" applyProtection="1">
      <alignment horizontal="left" vertical="top" wrapText="1"/>
      <protection hidden="1"/>
    </xf>
    <xf numFmtId="4" fontId="0" fillId="0" borderId="1" xfId="3" applyNumberFormat="1" applyFont="1" applyFill="1" applyBorder="1" applyAlignment="1" applyProtection="1">
      <alignment horizontal="center" vertical="top" wrapText="1"/>
      <protection hidden="1"/>
    </xf>
    <xf numFmtId="164" fontId="0" fillId="0" borderId="1" xfId="1" applyNumberFormat="1" applyFont="1" applyFill="1" applyBorder="1" applyAlignment="1" applyProtection="1">
      <alignment vertical="top" wrapText="1"/>
      <protection hidden="1"/>
    </xf>
    <xf numFmtId="0" fontId="53" fillId="0" borderId="44" xfId="0" applyFont="1" applyBorder="1" applyAlignment="1" applyProtection="1">
      <alignment vertical="top" wrapText="1"/>
      <protection hidden="1"/>
    </xf>
    <xf numFmtId="164" fontId="0" fillId="0" borderId="0" xfId="0" applyNumberFormat="1" applyAlignment="1" applyProtection="1">
      <alignment vertical="top" wrapText="1"/>
      <protection hidden="1"/>
    </xf>
    <xf numFmtId="0" fontId="79" fillId="23" borderId="0" xfId="0" applyFont="1" applyFill="1" applyAlignment="1" applyProtection="1">
      <alignment vertical="top" wrapText="1"/>
      <protection hidden="1"/>
    </xf>
    <xf numFmtId="3" fontId="0" fillId="0" borderId="44" xfId="3" applyNumberFormat="1" applyFont="1" applyFill="1" applyBorder="1" applyAlignment="1" applyProtection="1">
      <alignment horizontal="center" vertical="top" wrapText="1"/>
      <protection hidden="1"/>
    </xf>
    <xf numFmtId="4" fontId="0" fillId="0" borderId="0" xfId="0" applyNumberFormat="1" applyAlignment="1" applyProtection="1">
      <alignment vertical="top" wrapText="1"/>
      <protection hidden="1"/>
    </xf>
    <xf numFmtId="3" fontId="0" fillId="23" borderId="0" xfId="1" applyNumberFormat="1" applyFont="1" applyFill="1" applyBorder="1" applyAlignment="1" applyProtection="1">
      <alignment horizontal="center" vertical="top" wrapText="1"/>
      <protection hidden="1"/>
    </xf>
    <xf numFmtId="3" fontId="0" fillId="0" borderId="1" xfId="3" applyNumberFormat="1" applyFont="1" applyFill="1" applyBorder="1" applyAlignment="1" applyProtection="1">
      <alignment horizontal="center" vertical="top" wrapText="1"/>
      <protection hidden="1"/>
    </xf>
    <xf numFmtId="0" fontId="53" fillId="0" borderId="1" xfId="0" applyFont="1" applyBorder="1" applyAlignment="1" applyProtection="1">
      <alignment vertical="top" wrapText="1"/>
      <protection hidden="1"/>
    </xf>
    <xf numFmtId="170" fontId="0" fillId="23" borderId="0" xfId="0" applyNumberFormat="1" applyFill="1" applyAlignment="1" applyProtection="1">
      <alignment vertical="top" wrapText="1"/>
      <protection hidden="1"/>
    </xf>
    <xf numFmtId="170" fontId="53" fillId="23" borderId="0" xfId="0" applyNumberFormat="1" applyFont="1" applyFill="1" applyAlignment="1" applyProtection="1">
      <alignment vertical="top" wrapText="1"/>
      <protection hidden="1"/>
    </xf>
    <xf numFmtId="0" fontId="35" fillId="33" borderId="1" xfId="0" applyFont="1" applyFill="1" applyBorder="1" applyAlignment="1" applyProtection="1">
      <alignment horizontal="left" vertical="top" wrapText="1"/>
      <protection hidden="1"/>
    </xf>
    <xf numFmtId="9" fontId="48" fillId="0" borderId="44" xfId="9" applyNumberFormat="1" applyFill="1" applyBorder="1" applyAlignment="1" applyProtection="1">
      <alignment vertical="top" wrapText="1"/>
      <protection hidden="1"/>
    </xf>
    <xf numFmtId="3" fontId="0" fillId="0" borderId="25" xfId="3" applyNumberFormat="1" applyFont="1" applyFill="1" applyBorder="1" applyAlignment="1" applyProtection="1">
      <alignment horizontal="center" vertical="top" wrapText="1"/>
      <protection hidden="1"/>
    </xf>
    <xf numFmtId="0" fontId="77" fillId="6" borderId="0" xfId="0" applyFont="1" applyFill="1" applyAlignment="1" applyProtection="1">
      <alignment vertical="top" wrapText="1"/>
      <protection hidden="1"/>
    </xf>
    <xf numFmtId="164" fontId="0" fillId="0" borderId="0" xfId="1" applyNumberFormat="1" applyFont="1" applyAlignment="1" applyProtection="1">
      <alignment vertical="top" wrapText="1"/>
      <protection hidden="1"/>
    </xf>
    <xf numFmtId="0" fontId="61" fillId="0" borderId="1" xfId="0" applyFont="1" applyBorder="1" applyAlignment="1" applyProtection="1">
      <alignment vertical="top" wrapText="1"/>
      <protection hidden="1"/>
    </xf>
    <xf numFmtId="0" fontId="53" fillId="0" borderId="25" xfId="0" applyFont="1" applyBorder="1" applyAlignment="1" applyProtection="1">
      <alignment vertical="top" wrapText="1"/>
      <protection hidden="1"/>
    </xf>
    <xf numFmtId="3" fontId="0" fillId="23" borderId="0" xfId="0" applyNumberFormat="1" applyFill="1" applyAlignment="1" applyProtection="1">
      <alignment horizontal="center" vertical="top" wrapText="1"/>
      <protection hidden="1"/>
    </xf>
    <xf numFmtId="3" fontId="0" fillId="33" borderId="1" xfId="0" applyNumberFormat="1" applyFill="1" applyBorder="1" applyAlignment="1" applyProtection="1">
      <alignment horizontal="center" vertical="top" wrapText="1"/>
      <protection hidden="1"/>
    </xf>
    <xf numFmtId="3" fontId="0" fillId="42" borderId="48" xfId="3" applyNumberFormat="1" applyFont="1" applyFill="1" applyBorder="1" applyAlignment="1" applyProtection="1">
      <alignment horizontal="center" vertical="top" wrapText="1"/>
      <protection locked="0" hidden="1"/>
    </xf>
    <xf numFmtId="4" fontId="0" fillId="0" borderId="69" xfId="3" applyNumberFormat="1" applyFont="1" applyFill="1" applyBorder="1" applyAlignment="1" applyProtection="1">
      <alignment horizontal="center" vertical="top" wrapText="1"/>
      <protection hidden="1"/>
    </xf>
    <xf numFmtId="0" fontId="52" fillId="0" borderId="0" xfId="0" applyFont="1" applyAlignment="1" applyProtection="1">
      <alignment horizontal="left" vertical="top" wrapText="1"/>
      <protection hidden="1"/>
    </xf>
    <xf numFmtId="0" fontId="61" fillId="0" borderId="0" xfId="0" applyFont="1" applyAlignment="1" applyProtection="1">
      <alignment vertical="top" wrapText="1"/>
      <protection hidden="1"/>
    </xf>
    <xf numFmtId="0" fontId="35" fillId="0" borderId="0" xfId="0" applyFont="1" applyAlignment="1" applyProtection="1">
      <alignment horizontal="left" vertical="top" wrapText="1"/>
      <protection hidden="1"/>
    </xf>
    <xf numFmtId="0" fontId="0" fillId="0" borderId="1" xfId="0" applyBorder="1" applyAlignment="1" applyProtection="1">
      <alignment horizontal="center" vertical="top" wrapText="1"/>
      <protection hidden="1"/>
    </xf>
    <xf numFmtId="9" fontId="48" fillId="0" borderId="25" xfId="9" applyNumberFormat="1" applyFill="1" applyBorder="1" applyAlignment="1" applyProtection="1">
      <alignment vertical="top" wrapText="1"/>
      <protection hidden="1"/>
    </xf>
    <xf numFmtId="44" fontId="0" fillId="23" borderId="0" xfId="2" applyFont="1" applyFill="1" applyAlignment="1" applyProtection="1">
      <alignment vertical="top" wrapText="1"/>
      <protection hidden="1"/>
    </xf>
    <xf numFmtId="44" fontId="0" fillId="23" borderId="0" xfId="0" applyNumberFormat="1" applyFill="1" applyAlignment="1" applyProtection="1">
      <alignment vertical="top" wrapText="1"/>
      <protection hidden="1"/>
    </xf>
    <xf numFmtId="3" fontId="0" fillId="0" borderId="0" xfId="3" applyNumberFormat="1" applyFont="1" applyFill="1" applyBorder="1" applyAlignment="1" applyProtection="1">
      <alignment horizontal="center" vertical="top" wrapText="1"/>
      <protection hidden="1"/>
    </xf>
    <xf numFmtId="164" fontId="0" fillId="0" borderId="0" xfId="1" applyNumberFormat="1" applyFont="1" applyFill="1" applyBorder="1" applyAlignment="1" applyProtection="1">
      <alignment horizontal="center" vertical="top" wrapText="1"/>
      <protection hidden="1"/>
    </xf>
    <xf numFmtId="0" fontId="53" fillId="0" borderId="47" xfId="0" applyFont="1" applyBorder="1" applyAlignment="1" applyProtection="1">
      <alignment vertical="top" wrapText="1"/>
      <protection hidden="1"/>
    </xf>
    <xf numFmtId="4" fontId="0" fillId="0" borderId="0" xfId="3" applyNumberFormat="1" applyFont="1" applyFill="1" applyBorder="1" applyAlignment="1" applyProtection="1">
      <alignment horizontal="center" vertical="top" wrapText="1"/>
      <protection hidden="1"/>
    </xf>
    <xf numFmtId="43" fontId="0" fillId="23" borderId="0" xfId="1" applyFont="1" applyFill="1" applyAlignment="1" applyProtection="1">
      <alignment vertical="top" wrapText="1"/>
      <protection hidden="1"/>
    </xf>
    <xf numFmtId="2" fontId="0" fillId="0" borderId="25" xfId="0" applyNumberFormat="1" applyBorder="1" applyAlignment="1" applyProtection="1">
      <alignment horizontal="center" vertical="top" wrapText="1"/>
      <protection hidden="1"/>
    </xf>
    <xf numFmtId="0" fontId="54" fillId="0" borderId="0" xfId="9" applyFont="1" applyFill="1" applyAlignment="1" applyProtection="1">
      <alignment vertical="top" wrapText="1"/>
      <protection hidden="1"/>
    </xf>
    <xf numFmtId="2" fontId="0" fillId="0" borderId="45" xfId="0" applyNumberFormat="1" applyBorder="1" applyAlignment="1" applyProtection="1">
      <alignment horizontal="center" vertical="top" wrapText="1"/>
      <protection hidden="1"/>
    </xf>
    <xf numFmtId="0" fontId="53" fillId="23" borderId="76" xfId="0" applyFont="1" applyFill="1" applyBorder="1" applyAlignment="1" applyProtection="1">
      <alignment vertical="top" wrapText="1"/>
      <protection hidden="1"/>
    </xf>
    <xf numFmtId="9" fontId="0" fillId="0" borderId="45" xfId="0" applyNumberFormat="1" applyBorder="1" applyAlignment="1" applyProtection="1">
      <alignment horizontal="center" vertical="top" wrapText="1"/>
      <protection hidden="1"/>
    </xf>
    <xf numFmtId="3" fontId="0" fillId="42" borderId="51" xfId="3" applyNumberFormat="1" applyFont="1" applyFill="1" applyBorder="1" applyAlignment="1" applyProtection="1">
      <alignment horizontal="center" vertical="top" wrapText="1"/>
      <protection locked="0" hidden="1"/>
    </xf>
    <xf numFmtId="3" fontId="0" fillId="42" borderId="79" xfId="3" applyNumberFormat="1" applyFont="1" applyFill="1" applyBorder="1" applyAlignment="1" applyProtection="1">
      <alignment horizontal="center" vertical="top" wrapText="1"/>
      <protection locked="0" hidden="1"/>
    </xf>
    <xf numFmtId="0" fontId="53" fillId="23" borderId="58" xfId="0" applyFont="1" applyFill="1" applyBorder="1" applyAlignment="1" applyProtection="1">
      <alignment vertical="top" wrapText="1"/>
      <protection hidden="1"/>
    </xf>
    <xf numFmtId="43" fontId="1" fillId="23" borderId="0" xfId="1" applyFont="1" applyFill="1" applyAlignment="1" applyProtection="1">
      <alignment vertical="top" wrapText="1"/>
      <protection hidden="1"/>
    </xf>
    <xf numFmtId="2" fontId="0" fillId="0" borderId="0" xfId="0" applyNumberFormat="1" applyAlignment="1" applyProtection="1">
      <alignment horizontal="center" vertical="top" wrapText="1"/>
      <protection hidden="1"/>
    </xf>
    <xf numFmtId="0" fontId="71" fillId="0" borderId="0" xfId="0" applyFont="1"/>
    <xf numFmtId="0" fontId="56" fillId="33" borderId="1" xfId="0" applyFont="1" applyFill="1" applyBorder="1" applyAlignment="1" applyProtection="1">
      <alignment horizontal="center" vertical="top" wrapText="1"/>
      <protection hidden="1"/>
    </xf>
    <xf numFmtId="0" fontId="47" fillId="0" borderId="0" xfId="0" applyFont="1" applyAlignment="1" applyProtection="1">
      <alignment vertical="top" wrapText="1"/>
      <protection hidden="1"/>
    </xf>
    <xf numFmtId="9" fontId="0" fillId="42" borderId="48" xfId="3" applyFont="1" applyFill="1" applyBorder="1" applyAlignment="1" applyProtection="1">
      <alignment horizontal="center" vertical="top" wrapText="1"/>
      <protection locked="0" hidden="1"/>
    </xf>
    <xf numFmtId="9" fontId="0" fillId="0" borderId="69" xfId="0" applyNumberFormat="1" applyBorder="1" applyAlignment="1" applyProtection="1">
      <alignment horizontal="center" vertical="top" wrapText="1"/>
      <protection hidden="1"/>
    </xf>
    <xf numFmtId="9" fontId="0" fillId="0" borderId="0" xfId="0" applyNumberFormat="1" applyAlignment="1" applyProtection="1">
      <alignment vertical="top" wrapText="1"/>
      <protection hidden="1"/>
    </xf>
    <xf numFmtId="9" fontId="0" fillId="42" borderId="47" xfId="3" applyFont="1" applyFill="1" applyBorder="1" applyAlignment="1" applyProtection="1">
      <alignment horizontal="center" vertical="top" wrapText="1"/>
      <protection locked="0" hidden="1"/>
    </xf>
    <xf numFmtId="9" fontId="0" fillId="0" borderId="44" xfId="0" applyNumberFormat="1" applyBorder="1" applyAlignment="1" applyProtection="1">
      <alignment horizontal="center" vertical="top" wrapText="1"/>
      <protection hidden="1"/>
    </xf>
    <xf numFmtId="9" fontId="0" fillId="0" borderId="0" xfId="3" applyFont="1" applyFill="1" applyBorder="1" applyAlignment="1" applyProtection="1">
      <alignment horizontal="center" vertical="top" wrapText="1"/>
      <protection hidden="1"/>
    </xf>
    <xf numFmtId="9" fontId="0" fillId="0" borderId="0" xfId="0" applyNumberFormat="1" applyAlignment="1" applyProtection="1">
      <alignment horizontal="center" vertical="top" wrapText="1"/>
      <protection hidden="1"/>
    </xf>
    <xf numFmtId="9" fontId="35" fillId="0" borderId="77" xfId="9" applyNumberFormat="1" applyFont="1" applyFill="1" applyBorder="1" applyAlignment="1" applyProtection="1">
      <alignment horizontal="center" vertical="top" wrapText="1"/>
      <protection hidden="1"/>
    </xf>
    <xf numFmtId="9" fontId="35" fillId="0" borderId="76" xfId="9" applyNumberFormat="1" applyFont="1" applyFill="1" applyBorder="1" applyAlignment="1" applyProtection="1">
      <alignment horizontal="center" vertical="top" wrapText="1"/>
      <protection hidden="1"/>
    </xf>
    <xf numFmtId="3" fontId="0" fillId="0" borderId="69" xfId="3" applyNumberFormat="1" applyFont="1" applyFill="1" applyBorder="1" applyAlignment="1" applyProtection="1">
      <alignment horizontal="center" vertical="top" wrapText="1"/>
      <protection hidden="1"/>
    </xf>
    <xf numFmtId="9" fontId="35" fillId="0" borderId="78" xfId="9" applyNumberFormat="1" applyFont="1" applyFill="1" applyBorder="1" applyAlignment="1" applyProtection="1">
      <alignment horizontal="center" vertical="top" wrapText="1"/>
      <protection hidden="1"/>
    </xf>
    <xf numFmtId="0" fontId="35" fillId="6" borderId="0" xfId="0" applyFont="1" applyFill="1" applyAlignment="1" applyProtection="1">
      <alignment horizontal="left" vertical="top" wrapText="1"/>
      <protection hidden="1"/>
    </xf>
    <xf numFmtId="0" fontId="53" fillId="0" borderId="0" xfId="0" applyFont="1" applyAlignment="1" applyProtection="1">
      <alignment horizontal="left" vertical="top" wrapText="1"/>
      <protection hidden="1"/>
    </xf>
    <xf numFmtId="9" fontId="35" fillId="0" borderId="58" xfId="9" applyNumberFormat="1" applyFont="1" applyFill="1" applyBorder="1" applyAlignment="1" applyProtection="1">
      <alignment horizontal="center" vertical="top" wrapText="1"/>
      <protection hidden="1"/>
    </xf>
    <xf numFmtId="4" fontId="0" fillId="0" borderId="48" xfId="3" applyNumberFormat="1" applyFont="1" applyFill="1" applyBorder="1" applyAlignment="1" applyProtection="1">
      <alignment horizontal="center" vertical="top" wrapText="1"/>
      <protection hidden="1"/>
    </xf>
    <xf numFmtId="9" fontId="35" fillId="0" borderId="48" xfId="9" applyNumberFormat="1" applyFont="1" applyFill="1" applyBorder="1" applyAlignment="1" applyProtection="1">
      <alignment horizontal="center" vertical="top" wrapText="1"/>
      <protection hidden="1"/>
    </xf>
    <xf numFmtId="9" fontId="35" fillId="0" borderId="44" xfId="9" applyNumberFormat="1" applyFont="1" applyFill="1" applyBorder="1" applyAlignment="1" applyProtection="1">
      <alignment horizontal="center" vertical="top" wrapText="1"/>
      <protection hidden="1"/>
    </xf>
    <xf numFmtId="170" fontId="0" fillId="0" borderId="0" xfId="0" applyNumberFormat="1" applyAlignment="1" applyProtection="1">
      <alignment vertical="top" wrapText="1"/>
      <protection hidden="1"/>
    </xf>
    <xf numFmtId="0" fontId="35" fillId="33" borderId="1" xfId="0" applyFont="1" applyFill="1" applyBorder="1" applyAlignment="1" applyProtection="1">
      <alignment horizontal="center" vertical="top" wrapText="1"/>
      <protection hidden="1"/>
    </xf>
    <xf numFmtId="0" fontId="53" fillId="33" borderId="0" xfId="0" applyFont="1" applyFill="1" applyAlignment="1" applyProtection="1">
      <alignment horizontal="left" vertical="top" wrapText="1"/>
      <protection hidden="1"/>
    </xf>
    <xf numFmtId="9" fontId="0" fillId="42" borderId="52" xfId="3" applyFont="1" applyFill="1" applyBorder="1" applyAlignment="1" applyProtection="1">
      <alignment horizontal="center" vertical="top" wrapText="1"/>
      <protection locked="0" hidden="1"/>
    </xf>
    <xf numFmtId="0" fontId="53" fillId="0" borderId="72" xfId="0" applyFont="1" applyBorder="1" applyAlignment="1" applyProtection="1">
      <alignment vertical="top" wrapText="1"/>
      <protection hidden="1"/>
    </xf>
    <xf numFmtId="3" fontId="0" fillId="0" borderId="72" xfId="3" applyNumberFormat="1" applyFont="1" applyFill="1" applyBorder="1" applyAlignment="1" applyProtection="1">
      <alignment horizontal="center" vertical="top" wrapText="1"/>
      <protection hidden="1"/>
    </xf>
    <xf numFmtId="9" fontId="35" fillId="0" borderId="0" xfId="9" applyNumberFormat="1" applyFont="1" applyFill="1" applyBorder="1" applyAlignment="1" applyProtection="1">
      <alignment horizontal="center" vertical="top" wrapText="1"/>
      <protection hidden="1"/>
    </xf>
    <xf numFmtId="4" fontId="75" fillId="0" borderId="0" xfId="3" applyNumberFormat="1" applyFont="1" applyFill="1" applyBorder="1" applyAlignment="1" applyProtection="1">
      <alignment horizontal="center" vertical="top" wrapText="1"/>
      <protection hidden="1"/>
    </xf>
    <xf numFmtId="9" fontId="74" fillId="0" borderId="0" xfId="9" applyNumberFormat="1" applyFont="1" applyFill="1" applyBorder="1" applyAlignment="1" applyProtection="1">
      <alignment horizontal="center" vertical="top" wrapText="1"/>
      <protection hidden="1"/>
    </xf>
    <xf numFmtId="1" fontId="0" fillId="0" borderId="25" xfId="0" applyNumberFormat="1" applyBorder="1" applyAlignment="1" applyProtection="1">
      <alignment horizontal="center" vertical="top" wrapText="1"/>
      <protection hidden="1"/>
    </xf>
    <xf numFmtId="1" fontId="0" fillId="0" borderId="44" xfId="0" applyNumberFormat="1" applyBorder="1" applyAlignment="1" applyProtection="1">
      <alignment horizontal="center" vertical="top" wrapText="1"/>
      <protection hidden="1"/>
    </xf>
    <xf numFmtId="3" fontId="0" fillId="0" borderId="44" xfId="0" applyNumberFormat="1" applyBorder="1" applyAlignment="1" applyProtection="1">
      <alignment horizontal="center" vertical="top" wrapText="1"/>
      <protection hidden="1"/>
    </xf>
    <xf numFmtId="0" fontId="47" fillId="0" borderId="0" xfId="0" applyFont="1" applyAlignment="1" applyProtection="1">
      <alignment horizontal="left" vertical="top" wrapText="1"/>
      <protection hidden="1"/>
    </xf>
    <xf numFmtId="4" fontId="47" fillId="0" borderId="0" xfId="3" applyNumberFormat="1" applyFont="1" applyFill="1" applyBorder="1" applyAlignment="1" applyProtection="1">
      <alignment horizontal="center" vertical="top" wrapText="1"/>
      <protection hidden="1"/>
    </xf>
    <xf numFmtId="0" fontId="53" fillId="33" borderId="0" xfId="0" applyFont="1" applyFill="1" applyAlignment="1" applyProtection="1">
      <alignment horizontal="center" vertical="top" wrapText="1"/>
      <protection hidden="1"/>
    </xf>
    <xf numFmtId="0" fontId="0" fillId="42" borderId="44" xfId="0" applyFill="1" applyBorder="1" applyAlignment="1" applyProtection="1">
      <alignment horizontal="center" vertical="top" wrapText="1"/>
      <protection locked="0" hidden="1"/>
    </xf>
    <xf numFmtId="9" fontId="48" fillId="0" borderId="1" xfId="9" applyNumberFormat="1" applyFill="1" applyBorder="1" applyAlignment="1" applyProtection="1">
      <alignment vertical="top" wrapText="1"/>
      <protection hidden="1"/>
    </xf>
    <xf numFmtId="3" fontId="0" fillId="42" borderId="44" xfId="3" applyNumberFormat="1" applyFont="1" applyFill="1" applyBorder="1" applyAlignment="1" applyProtection="1">
      <alignment horizontal="center" vertical="top" wrapText="1"/>
      <protection locked="0" hidden="1"/>
    </xf>
    <xf numFmtId="2" fontId="0" fillId="0" borderId="73" xfId="0" applyNumberFormat="1" applyBorder="1" applyAlignment="1" applyProtection="1">
      <alignment horizontal="center" vertical="top" wrapText="1"/>
      <protection hidden="1"/>
    </xf>
    <xf numFmtId="2" fontId="0" fillId="0" borderId="1" xfId="0" applyNumberFormat="1" applyBorder="1" applyAlignment="1" applyProtection="1">
      <alignment horizontal="center" vertical="top" wrapText="1"/>
      <protection hidden="1"/>
    </xf>
    <xf numFmtId="2" fontId="0" fillId="0" borderId="44" xfId="0" applyNumberFormat="1" applyBorder="1" applyAlignment="1" applyProtection="1">
      <alignment horizontal="center" vertical="top" wrapText="1"/>
      <protection hidden="1"/>
    </xf>
    <xf numFmtId="2" fontId="0" fillId="0" borderId="51" xfId="0" applyNumberFormat="1" applyBorder="1" applyAlignment="1" applyProtection="1">
      <alignment horizontal="center" vertical="top" wrapText="1"/>
      <protection hidden="1"/>
    </xf>
    <xf numFmtId="3" fontId="0" fillId="42" borderId="70" xfId="3" applyNumberFormat="1" applyFont="1" applyFill="1" applyBorder="1" applyAlignment="1" applyProtection="1">
      <alignment horizontal="center" vertical="top" wrapText="1"/>
      <protection locked="0" hidden="1"/>
    </xf>
    <xf numFmtId="2" fontId="0" fillId="0" borderId="71" xfId="0" applyNumberFormat="1" applyBorder="1" applyAlignment="1" applyProtection="1">
      <alignment horizontal="center" vertical="top" wrapText="1"/>
      <protection hidden="1"/>
    </xf>
    <xf numFmtId="2" fontId="35" fillId="0" borderId="0" xfId="9" applyNumberFormat="1" applyFont="1" applyFill="1" applyBorder="1" applyAlignment="1" applyProtection="1">
      <alignment horizontal="center" vertical="top" wrapText="1"/>
      <protection hidden="1"/>
    </xf>
    <xf numFmtId="9" fontId="48" fillId="0" borderId="44" xfId="9" applyNumberFormat="1" applyFill="1" applyBorder="1" applyAlignment="1" applyProtection="1">
      <alignment horizontal="center" vertical="top" wrapText="1"/>
      <protection hidden="1"/>
    </xf>
    <xf numFmtId="0" fontId="53" fillId="0" borderId="25" xfId="0" applyFont="1" applyBorder="1" applyAlignment="1" applyProtection="1">
      <alignment horizontal="center" vertical="top" wrapText="1"/>
      <protection hidden="1"/>
    </xf>
    <xf numFmtId="3" fontId="2" fillId="0" borderId="47" xfId="3" applyNumberFormat="1" applyFont="1" applyFill="1" applyBorder="1" applyAlignment="1" applyProtection="1">
      <alignment horizontal="center" vertical="top" wrapText="1"/>
      <protection hidden="1"/>
    </xf>
    <xf numFmtId="0" fontId="76" fillId="23" borderId="0" xfId="0" applyFont="1" applyFill="1" applyAlignment="1" applyProtection="1">
      <alignment vertical="top" wrapText="1"/>
      <protection hidden="1"/>
    </xf>
    <xf numFmtId="3" fontId="1" fillId="23" borderId="0" xfId="1" applyNumberFormat="1" applyFont="1" applyFill="1" applyBorder="1" applyAlignment="1" applyProtection="1">
      <alignment horizontal="center" vertical="top" wrapText="1"/>
      <protection hidden="1"/>
    </xf>
    <xf numFmtId="9" fontId="0" fillId="0" borderId="1" xfId="0" applyNumberFormat="1" applyBorder="1" applyAlignment="1" applyProtection="1">
      <alignment horizontal="left" vertical="top" wrapText="1"/>
      <protection hidden="1"/>
    </xf>
    <xf numFmtId="0" fontId="53" fillId="0" borderId="1" xfId="0" applyFont="1" applyBorder="1" applyAlignment="1" applyProtection="1">
      <alignment horizontal="center" vertical="top" wrapText="1"/>
      <protection hidden="1"/>
    </xf>
    <xf numFmtId="43" fontId="1" fillId="23" borderId="0" xfId="1" applyFont="1" applyFill="1" applyBorder="1" applyAlignment="1" applyProtection="1">
      <alignment horizontal="center" vertical="top" wrapText="1"/>
      <protection hidden="1"/>
    </xf>
    <xf numFmtId="0" fontId="0" fillId="0" borderId="47" xfId="0" applyBorder="1" applyAlignment="1" applyProtection="1">
      <alignment vertical="top" wrapText="1"/>
      <protection hidden="1"/>
    </xf>
    <xf numFmtId="3" fontId="0" fillId="0" borderId="25" xfId="0" applyNumberFormat="1" applyBorder="1" applyAlignment="1" applyProtection="1">
      <alignment horizontal="center" vertical="top" wrapText="1"/>
      <protection hidden="1"/>
    </xf>
    <xf numFmtId="9" fontId="48" fillId="0" borderId="52" xfId="9" applyNumberFormat="1" applyFill="1" applyBorder="1" applyAlignment="1" applyProtection="1">
      <alignment horizontal="center" vertical="top" wrapText="1"/>
      <protection hidden="1"/>
    </xf>
    <xf numFmtId="0" fontId="53" fillId="23" borderId="2" xfId="0" applyFont="1" applyFill="1" applyBorder="1" applyAlignment="1" applyProtection="1">
      <alignment vertical="top" wrapText="1"/>
      <protection hidden="1"/>
    </xf>
    <xf numFmtId="0" fontId="53" fillId="33" borderId="1" xfId="0" applyFont="1" applyFill="1" applyBorder="1" applyAlignment="1" applyProtection="1">
      <alignment horizontal="left" vertical="top" wrapText="1"/>
      <protection hidden="1"/>
    </xf>
    <xf numFmtId="0" fontId="50" fillId="23" borderId="0" xfId="0" applyFont="1" applyFill="1" applyAlignment="1" applyProtection="1">
      <alignment vertical="top" wrapText="1"/>
      <protection hidden="1"/>
    </xf>
    <xf numFmtId="0" fontId="34" fillId="43" borderId="0" xfId="0" applyFont="1" applyFill="1" applyAlignment="1" applyProtection="1">
      <alignment horizontal="center" vertical="top" wrapText="1"/>
      <protection hidden="1"/>
    </xf>
    <xf numFmtId="0" fontId="34" fillId="43" borderId="51" xfId="0" applyFont="1" applyFill="1" applyBorder="1" applyAlignment="1" applyProtection="1">
      <alignment horizontal="left" vertical="top" wrapText="1"/>
      <protection hidden="1"/>
    </xf>
    <xf numFmtId="0" fontId="52" fillId="32" borderId="50" xfId="0" applyFont="1" applyFill="1" applyBorder="1" applyAlignment="1" applyProtection="1">
      <alignment horizontal="left" vertical="top" wrapText="1"/>
      <protection hidden="1"/>
    </xf>
    <xf numFmtId="164" fontId="0" fillId="23" borderId="0" xfId="1" applyNumberFormat="1" applyFont="1" applyFill="1" applyAlignment="1" applyProtection="1">
      <alignment horizontal="right" vertical="top" wrapText="1"/>
      <protection hidden="1"/>
    </xf>
    <xf numFmtId="0" fontId="0" fillId="26" borderId="50" xfId="0" applyFill="1" applyBorder="1" applyAlignment="1" applyProtection="1">
      <alignment vertical="top" wrapText="1"/>
      <protection hidden="1"/>
    </xf>
    <xf numFmtId="164" fontId="0" fillId="23" borderId="53" xfId="1" applyNumberFormat="1" applyFont="1" applyFill="1" applyBorder="1" applyAlignment="1" applyProtection="1">
      <alignment horizontal="right" vertical="top" wrapText="1"/>
      <protection hidden="1"/>
    </xf>
    <xf numFmtId="164" fontId="52" fillId="32" borderId="0" xfId="1" applyNumberFormat="1" applyFont="1" applyFill="1" applyAlignment="1" applyProtection="1">
      <alignment horizontal="right" vertical="top" wrapText="1"/>
      <protection hidden="1"/>
    </xf>
    <xf numFmtId="0" fontId="52" fillId="32" borderId="50" xfId="0" applyFont="1" applyFill="1" applyBorder="1" applyAlignment="1" applyProtection="1">
      <alignment vertical="top" wrapText="1"/>
      <protection hidden="1"/>
    </xf>
    <xf numFmtId="164" fontId="0" fillId="0" borderId="55" xfId="1" applyNumberFormat="1" applyFont="1" applyFill="1" applyBorder="1" applyAlignment="1" applyProtection="1">
      <alignment horizontal="right" vertical="top" wrapText="1"/>
      <protection hidden="1"/>
    </xf>
    <xf numFmtId="164" fontId="0" fillId="23" borderId="55" xfId="1" applyNumberFormat="1" applyFont="1" applyFill="1" applyBorder="1" applyAlignment="1" applyProtection="1">
      <alignment horizontal="right" vertical="top" wrapText="1"/>
      <protection hidden="1"/>
    </xf>
    <xf numFmtId="164" fontId="0" fillId="23" borderId="0" xfId="1" applyNumberFormat="1" applyFont="1" applyFill="1" applyBorder="1" applyAlignment="1" applyProtection="1">
      <alignment horizontal="right" vertical="top" wrapText="1"/>
      <protection hidden="1"/>
    </xf>
    <xf numFmtId="0" fontId="0" fillId="0" borderId="50" xfId="0" applyBorder="1" applyAlignment="1" applyProtection="1">
      <alignment vertical="top" wrapText="1"/>
      <protection hidden="1"/>
    </xf>
    <xf numFmtId="0" fontId="0" fillId="26" borderId="48" xfId="0" applyFill="1" applyBorder="1" applyAlignment="1" applyProtection="1">
      <alignment vertical="top" wrapText="1"/>
      <protection hidden="1"/>
    </xf>
    <xf numFmtId="43" fontId="1" fillId="33" borderId="0" xfId="1" applyFont="1" applyFill="1" applyAlignment="1" applyProtection="1">
      <alignment vertical="top" wrapText="1"/>
      <protection hidden="1"/>
    </xf>
    <xf numFmtId="0" fontId="48" fillId="23" borderId="0" xfId="9" applyFill="1" applyAlignment="1" applyProtection="1">
      <alignment horizontal="left" vertical="center"/>
      <protection hidden="1"/>
    </xf>
    <xf numFmtId="0" fontId="35" fillId="23" borderId="0" xfId="9" applyFont="1" applyFill="1" applyAlignment="1" applyProtection="1">
      <alignment vertical="top" wrapText="1"/>
      <protection hidden="1"/>
    </xf>
    <xf numFmtId="0" fontId="0" fillId="0" borderId="0" xfId="0" applyAlignment="1">
      <alignment horizontal="left" vertical="center" indent="2"/>
    </xf>
    <xf numFmtId="0" fontId="0" fillId="0" borderId="0" xfId="0" applyAlignment="1">
      <alignment horizontal="left" vertical="center" indent="1"/>
    </xf>
    <xf numFmtId="0" fontId="90" fillId="0" borderId="0" xfId="0" applyFont="1" applyAlignment="1">
      <alignment horizontal="left" vertical="center" indent="1"/>
    </xf>
    <xf numFmtId="0" fontId="96" fillId="0" borderId="0" xfId="9" applyFont="1" applyAlignment="1">
      <alignment horizontal="left" vertical="center" indent="1"/>
    </xf>
    <xf numFmtId="0" fontId="0" fillId="0" borderId="80" xfId="0" applyBorder="1" applyAlignment="1">
      <alignment vertical="center" wrapText="1"/>
    </xf>
    <xf numFmtId="0" fontId="0" fillId="0" borderId="0" xfId="0" applyAlignment="1">
      <alignment vertical="center" wrapText="1"/>
    </xf>
    <xf numFmtId="0" fontId="48" fillId="0" borderId="0" xfId="9" applyAlignment="1" applyProtection="1">
      <alignment horizontal="left"/>
      <protection locked="0"/>
    </xf>
    <xf numFmtId="0" fontId="59" fillId="24" borderId="0" xfId="11" applyFont="1" applyFill="1" applyAlignment="1" applyProtection="1">
      <alignment horizontal="center" vertical="center" textRotation="90"/>
    </xf>
    <xf numFmtId="0" fontId="48" fillId="0" borderId="0" xfId="9" applyFill="1" applyBorder="1" applyAlignment="1" applyProtection="1">
      <alignment horizontal="left"/>
      <protection locked="0"/>
    </xf>
    <xf numFmtId="0" fontId="59" fillId="22" borderId="0" xfId="10" applyFont="1" applyFill="1" applyAlignment="1" applyProtection="1">
      <alignment horizontal="center" vertical="center" textRotation="90"/>
    </xf>
    <xf numFmtId="0" fontId="53" fillId="23" borderId="76" xfId="0" applyFont="1" applyFill="1" applyBorder="1" applyAlignment="1" applyProtection="1">
      <alignment horizontal="left" vertical="top" wrapText="1"/>
      <protection hidden="1"/>
    </xf>
    <xf numFmtId="0" fontId="53" fillId="23" borderId="57" xfId="0" applyFont="1" applyFill="1" applyBorder="1" applyAlignment="1" applyProtection="1">
      <alignment horizontal="left" vertical="top" wrapText="1"/>
      <protection hidden="1"/>
    </xf>
    <xf numFmtId="0" fontId="52" fillId="23" borderId="44" xfId="0" applyFont="1" applyFill="1" applyBorder="1" applyAlignment="1" applyProtection="1">
      <alignment horizontal="left" vertical="top" wrapText="1"/>
      <protection hidden="1"/>
    </xf>
    <xf numFmtId="0" fontId="35" fillId="23" borderId="25" xfId="0" applyFont="1" applyFill="1" applyBorder="1" applyAlignment="1" applyProtection="1">
      <alignment horizontal="left" vertical="top" wrapText="1"/>
      <protection hidden="1"/>
    </xf>
    <xf numFmtId="0" fontId="35" fillId="23" borderId="45" xfId="0" applyFont="1" applyFill="1" applyBorder="1" applyAlignment="1" applyProtection="1">
      <alignment horizontal="left" vertical="top" wrapText="1"/>
      <protection hidden="1"/>
    </xf>
    <xf numFmtId="0" fontId="53" fillId="23" borderId="58" xfId="0" applyFont="1" applyFill="1" applyBorder="1" applyAlignment="1" applyProtection="1">
      <alignment horizontal="left" vertical="top" wrapText="1"/>
      <protection hidden="1"/>
    </xf>
    <xf numFmtId="0" fontId="52" fillId="23" borderId="73" xfId="0" applyFont="1" applyFill="1" applyBorder="1" applyAlignment="1" applyProtection="1">
      <alignment horizontal="left" vertical="top" wrapText="1"/>
      <protection hidden="1"/>
    </xf>
    <xf numFmtId="0" fontId="35" fillId="23" borderId="74" xfId="0" applyFont="1" applyFill="1" applyBorder="1" applyAlignment="1" applyProtection="1">
      <alignment horizontal="left" vertical="top" wrapText="1"/>
      <protection hidden="1"/>
    </xf>
    <xf numFmtId="0" fontId="35" fillId="23" borderId="75" xfId="0" applyFont="1" applyFill="1" applyBorder="1" applyAlignment="1" applyProtection="1">
      <alignment horizontal="left" vertical="top" wrapText="1"/>
      <protection hidden="1"/>
    </xf>
    <xf numFmtId="0" fontId="57" fillId="23" borderId="0" xfId="0" applyFont="1" applyFill="1" applyAlignment="1" applyProtection="1">
      <alignment horizontal="center" vertical="top" wrapText="1"/>
      <protection hidden="1"/>
    </xf>
    <xf numFmtId="0" fontId="0" fillId="23" borderId="0" xfId="0" applyFill="1" applyAlignment="1">
      <alignment horizontal="left" wrapText="1"/>
    </xf>
    <xf numFmtId="0" fontId="64" fillId="23" borderId="0" xfId="0" applyFont="1" applyFill="1" applyAlignment="1" applyProtection="1">
      <alignment horizontal="center" vertical="top" wrapText="1"/>
      <protection hidden="1"/>
    </xf>
    <xf numFmtId="0" fontId="50" fillId="23" borderId="44" xfId="0" applyFont="1" applyFill="1" applyBorder="1" applyAlignment="1" applyProtection="1">
      <alignment horizontal="left" vertical="top" wrapText="1"/>
      <protection hidden="1"/>
    </xf>
    <xf numFmtId="0" fontId="50" fillId="23" borderId="25" xfId="0" applyFont="1" applyFill="1" applyBorder="1" applyAlignment="1" applyProtection="1">
      <alignment horizontal="left" vertical="top" wrapText="1"/>
      <protection hidden="1"/>
    </xf>
    <xf numFmtId="0" fontId="50" fillId="23" borderId="45" xfId="0" applyFont="1" applyFill="1" applyBorder="1" applyAlignment="1" applyProtection="1">
      <alignment horizontal="left" vertical="top" wrapText="1"/>
      <protection hidden="1"/>
    </xf>
    <xf numFmtId="0" fontId="0" fillId="23" borderId="2" xfId="0" applyFill="1" applyBorder="1" applyAlignment="1" applyProtection="1">
      <alignment horizontal="left" vertical="top" wrapText="1"/>
      <protection hidden="1"/>
    </xf>
    <xf numFmtId="0" fontId="50" fillId="23" borderId="47" xfId="0" applyFont="1" applyFill="1" applyBorder="1" applyAlignment="1" applyProtection="1">
      <alignment horizontal="left" vertical="top" wrapText="1"/>
      <protection hidden="1"/>
    </xf>
    <xf numFmtId="0" fontId="34" fillId="43" borderId="44" xfId="0" applyFont="1" applyFill="1" applyBorder="1" applyAlignment="1" applyProtection="1">
      <alignment horizontal="center" vertical="top" wrapText="1"/>
      <protection hidden="1"/>
    </xf>
    <xf numFmtId="0" fontId="34" fillId="43" borderId="25" xfId="0" applyFont="1" applyFill="1" applyBorder="1" applyAlignment="1" applyProtection="1">
      <alignment horizontal="center" vertical="top" wrapText="1"/>
      <protection hidden="1"/>
    </xf>
    <xf numFmtId="0" fontId="34" fillId="43" borderId="45" xfId="0" applyFont="1" applyFill="1" applyBorder="1" applyAlignment="1" applyProtection="1">
      <alignment horizontal="center" vertical="top" wrapText="1"/>
      <protection hidden="1"/>
    </xf>
    <xf numFmtId="0" fontId="52" fillId="32" borderId="51" xfId="0" applyFont="1" applyFill="1" applyBorder="1" applyAlignment="1" applyProtection="1">
      <alignment horizontal="center" vertical="top" wrapText="1"/>
      <protection hidden="1"/>
    </xf>
    <xf numFmtId="0" fontId="52" fillId="32" borderId="48" xfId="0" applyFont="1" applyFill="1" applyBorder="1" applyAlignment="1" applyProtection="1">
      <alignment horizontal="center" vertical="top" wrapText="1"/>
      <protection hidden="1"/>
    </xf>
    <xf numFmtId="0" fontId="52" fillId="42" borderId="51" xfId="0" applyFont="1" applyFill="1" applyBorder="1" applyAlignment="1" applyProtection="1">
      <alignment horizontal="center" vertical="top" wrapText="1"/>
      <protection locked="0" hidden="1"/>
    </xf>
    <xf numFmtId="0" fontId="52" fillId="42" borderId="48" xfId="0" applyFont="1" applyFill="1" applyBorder="1" applyAlignment="1" applyProtection="1">
      <alignment horizontal="center" vertical="top" wrapText="1"/>
      <protection locked="0" hidden="1"/>
    </xf>
    <xf numFmtId="0" fontId="52" fillId="32" borderId="47" xfId="0" applyFont="1" applyFill="1" applyBorder="1" applyAlignment="1" applyProtection="1">
      <alignment horizontal="center" vertical="top" wrapText="1"/>
      <protection hidden="1"/>
    </xf>
    <xf numFmtId="0" fontId="50" fillId="23" borderId="0" xfId="0" applyFont="1" applyFill="1" applyAlignment="1">
      <alignment horizontal="left" vertical="center" wrapText="1"/>
    </xf>
    <xf numFmtId="0" fontId="34" fillId="44" borderId="18" xfId="0" applyFont="1" applyFill="1" applyBorder="1" applyAlignment="1">
      <alignment horizontal="left"/>
    </xf>
    <xf numFmtId="0" fontId="34" fillId="44" borderId="23" xfId="0" applyFont="1" applyFill="1" applyBorder="1" applyAlignment="1">
      <alignment horizontal="left"/>
    </xf>
    <xf numFmtId="0" fontId="34" fillId="44" borderId="68" xfId="0" applyFont="1" applyFill="1" applyBorder="1" applyAlignment="1">
      <alignment horizontal="left"/>
    </xf>
    <xf numFmtId="0" fontId="0" fillId="23" borderId="51" xfId="0" applyFill="1" applyBorder="1" applyAlignment="1">
      <alignment horizontal="left" vertical="center" wrapText="1"/>
    </xf>
    <xf numFmtId="0" fontId="0" fillId="23" borderId="50" xfId="0" applyFill="1" applyBorder="1" applyAlignment="1">
      <alignment horizontal="left" vertical="center" wrapText="1"/>
    </xf>
    <xf numFmtId="0" fontId="0" fillId="23" borderId="48" xfId="0" applyFill="1" applyBorder="1" applyAlignment="1">
      <alignment horizontal="left" vertical="center" wrapText="1"/>
    </xf>
    <xf numFmtId="0" fontId="34" fillId="45" borderId="62" xfId="0" applyFont="1" applyFill="1" applyBorder="1" applyAlignment="1">
      <alignment horizontal="left"/>
    </xf>
    <xf numFmtId="0" fontId="34" fillId="45" borderId="0" xfId="0" applyFont="1" applyFill="1" applyAlignment="1">
      <alignment horizontal="left"/>
    </xf>
    <xf numFmtId="0" fontId="1" fillId="17" borderId="1" xfId="0" applyFont="1" applyFill="1" applyBorder="1" applyAlignment="1">
      <alignment horizontal="left"/>
    </xf>
    <xf numFmtId="0" fontId="1" fillId="17" borderId="25" xfId="0" applyFont="1" applyFill="1" applyBorder="1" applyAlignment="1">
      <alignment horizontal="left"/>
    </xf>
    <xf numFmtId="0" fontId="53" fillId="23" borderId="0" xfId="0" applyFont="1" applyFill="1" applyAlignment="1">
      <alignment horizontal="left" wrapText="1"/>
    </xf>
    <xf numFmtId="0" fontId="53" fillId="33" borderId="1" xfId="0" applyFont="1" applyFill="1" applyBorder="1" applyAlignment="1">
      <alignment horizontal="left" wrapText="1"/>
    </xf>
    <xf numFmtId="0" fontId="0" fillId="23" borderId="51" xfId="0" applyFill="1" applyBorder="1" applyAlignment="1">
      <alignment horizontal="left" wrapText="1"/>
    </xf>
    <xf numFmtId="0" fontId="0" fillId="23" borderId="50" xfId="0" applyFill="1" applyBorder="1" applyAlignment="1">
      <alignment horizontal="left" wrapText="1"/>
    </xf>
    <xf numFmtId="0" fontId="0" fillId="23" borderId="48" xfId="0" applyFill="1" applyBorder="1" applyAlignment="1">
      <alignment horizontal="left" wrapText="1"/>
    </xf>
    <xf numFmtId="0" fontId="65" fillId="23" borderId="0" xfId="0" applyFont="1" applyFill="1" applyAlignment="1">
      <alignment horizontal="left" wrapText="1"/>
    </xf>
    <xf numFmtId="0" fontId="53" fillId="23" borderId="2" xfId="0" applyFont="1" applyFill="1" applyBorder="1" applyAlignment="1">
      <alignment horizontal="left" wrapText="1"/>
    </xf>
    <xf numFmtId="0" fontId="41" fillId="26" borderId="49" xfId="0" applyFont="1" applyFill="1" applyBorder="1" applyAlignment="1">
      <alignment horizontal="left" vertical="center" wrapText="1"/>
    </xf>
    <xf numFmtId="0" fontId="36" fillId="26" borderId="30" xfId="0" applyFont="1" applyFill="1" applyBorder="1" applyAlignment="1">
      <alignment horizontal="left" vertical="center"/>
    </xf>
    <xf numFmtId="0" fontId="36" fillId="26" borderId="32" xfId="0" applyFont="1" applyFill="1" applyBorder="1" applyAlignment="1">
      <alignment horizontal="left" vertical="center"/>
    </xf>
    <xf numFmtId="0" fontId="41" fillId="26" borderId="49" xfId="0" applyFont="1" applyFill="1" applyBorder="1" applyAlignment="1">
      <alignment horizontal="left" vertical="top" wrapText="1"/>
    </xf>
    <xf numFmtId="0" fontId="43" fillId="26" borderId="30" xfId="0" applyFont="1" applyFill="1" applyBorder="1" applyAlignment="1">
      <alignment horizontal="left" vertical="top"/>
    </xf>
    <xf numFmtId="0" fontId="43" fillId="26" borderId="32" xfId="0" applyFont="1" applyFill="1" applyBorder="1" applyAlignment="1">
      <alignment horizontal="left" vertical="top"/>
    </xf>
    <xf numFmtId="0" fontId="0" fillId="27" borderId="0" xfId="0" applyFill="1" applyAlignment="1">
      <alignment horizontal="left" wrapText="1"/>
    </xf>
    <xf numFmtId="0" fontId="37" fillId="29" borderId="15" xfId="0" applyFont="1" applyFill="1" applyBorder="1" applyAlignment="1">
      <alignment horizontal="center" vertical="center"/>
    </xf>
    <xf numFmtId="0" fontId="37" fillId="29" borderId="16" xfId="0" applyFont="1" applyFill="1" applyBorder="1" applyAlignment="1">
      <alignment horizontal="center" vertical="center"/>
    </xf>
    <xf numFmtId="0" fontId="40" fillId="5" borderId="0" xfId="0" applyFont="1" applyFill="1" applyAlignment="1">
      <alignment horizontal="left" vertical="top" wrapText="1"/>
    </xf>
    <xf numFmtId="0" fontId="40" fillId="5" borderId="0" xfId="0" applyFont="1" applyFill="1" applyAlignment="1">
      <alignment horizontal="left" vertical="top"/>
    </xf>
    <xf numFmtId="0" fontId="41" fillId="30" borderId="49" xfId="0" applyFont="1" applyFill="1" applyBorder="1" applyAlignment="1">
      <alignment horizontal="left" vertical="top" wrapText="1"/>
    </xf>
    <xf numFmtId="0" fontId="41" fillId="30" borderId="30" xfId="0" applyFont="1" applyFill="1" applyBorder="1" applyAlignment="1">
      <alignment horizontal="left" vertical="top" wrapText="1"/>
    </xf>
    <xf numFmtId="0" fontId="41" fillId="30" borderId="32" xfId="0" applyFont="1" applyFill="1" applyBorder="1" applyAlignment="1">
      <alignment horizontal="left" vertical="top" wrapText="1"/>
    </xf>
    <xf numFmtId="0" fontId="42" fillId="30" borderId="30" xfId="0" applyFont="1" applyFill="1" applyBorder="1" applyAlignment="1">
      <alignment horizontal="left" vertical="top"/>
    </xf>
    <xf numFmtId="0" fontId="42" fillId="30" borderId="32" xfId="0" applyFont="1" applyFill="1" applyBorder="1" applyAlignment="1">
      <alignment horizontal="left" vertical="top"/>
    </xf>
    <xf numFmtId="0" fontId="5" fillId="2" borderId="0" xfId="0" applyFont="1" applyFill="1"/>
    <xf numFmtId="0" fontId="3" fillId="0" borderId="0" xfId="0" applyFont="1"/>
    <xf numFmtId="0" fontId="12" fillId="6" borderId="0" xfId="0" applyFont="1" applyFill="1" applyAlignment="1">
      <alignment horizontal="left" vertical="top" wrapText="1"/>
    </xf>
    <xf numFmtId="166" fontId="10" fillId="8" borderId="8" xfId="8" applyFont="1" applyFill="1" applyBorder="1" applyAlignment="1">
      <alignment horizontal="center" vertical="center" wrapText="1"/>
    </xf>
    <xf numFmtId="166" fontId="10" fillId="8" borderId="9" xfId="8" applyFont="1" applyFill="1" applyBorder="1" applyAlignment="1">
      <alignment horizontal="center" vertical="center" wrapText="1"/>
    </xf>
    <xf numFmtId="166" fontId="14" fillId="7" borderId="6" xfId="4" applyFont="1" applyFill="1" applyBorder="1" applyAlignment="1">
      <alignment horizontal="center"/>
    </xf>
    <xf numFmtId="166" fontId="14" fillId="7" borderId="0" xfId="4" applyFont="1" applyFill="1" applyAlignment="1">
      <alignment horizontal="center"/>
    </xf>
    <xf numFmtId="166" fontId="14" fillId="7" borderId="14" xfId="4" applyFont="1" applyFill="1" applyBorder="1" applyAlignment="1">
      <alignment horizontal="center"/>
    </xf>
    <xf numFmtId="0" fontId="0" fillId="0" borderId="0" xfId="0" applyFill="1" applyAlignment="1" applyProtection="1">
      <alignment vertical="top" wrapText="1"/>
      <protection hidden="1"/>
    </xf>
    <xf numFmtId="2" fontId="0" fillId="0" borderId="0" xfId="0" applyNumberFormat="1" applyFill="1" applyAlignment="1" applyProtection="1">
      <alignment horizontal="center" vertical="top" wrapText="1"/>
      <protection hidden="1"/>
    </xf>
    <xf numFmtId="0" fontId="53" fillId="0" borderId="0" xfId="0" applyFont="1" applyFill="1" applyAlignment="1" applyProtection="1">
      <alignment horizontal="center" vertical="top" wrapText="1"/>
      <protection hidden="1"/>
    </xf>
    <xf numFmtId="0" fontId="53" fillId="0" borderId="0" xfId="0" applyFont="1" applyFill="1" applyAlignment="1" applyProtection="1">
      <alignment horizontal="left" vertical="top" wrapText="1"/>
      <protection hidden="1"/>
    </xf>
    <xf numFmtId="0" fontId="53" fillId="0" borderId="44" xfId="0" applyFont="1" applyFill="1" applyBorder="1" applyAlignment="1" applyProtection="1">
      <alignment horizontal="center" vertical="top" wrapText="1"/>
      <protection hidden="1"/>
    </xf>
    <xf numFmtId="0" fontId="61" fillId="0" borderId="72" xfId="0" applyFont="1" applyFill="1" applyBorder="1" applyAlignment="1" applyProtection="1">
      <alignment vertical="top" wrapText="1"/>
      <protection hidden="1"/>
    </xf>
    <xf numFmtId="0" fontId="0" fillId="0" borderId="0" xfId="0" applyFill="1" applyAlignment="1" applyProtection="1">
      <alignment horizontal="center" vertical="top" wrapText="1"/>
      <protection hidden="1"/>
    </xf>
    <xf numFmtId="0" fontId="53" fillId="0" borderId="0" xfId="0" applyFont="1" applyFill="1" applyAlignment="1" applyProtection="1">
      <alignment vertical="top" wrapText="1"/>
      <protection hidden="1"/>
    </xf>
    <xf numFmtId="0" fontId="0" fillId="0" borderId="44" xfId="0" applyFill="1" applyBorder="1" applyAlignment="1" applyProtection="1">
      <alignment horizontal="center" vertical="top" wrapText="1"/>
      <protection hidden="1"/>
    </xf>
    <xf numFmtId="0" fontId="78" fillId="0" borderId="0" xfId="0" applyFont="1" applyFill="1" applyAlignment="1" applyProtection="1">
      <alignment vertical="top" wrapText="1"/>
      <protection hidden="1"/>
    </xf>
    <xf numFmtId="0" fontId="35" fillId="0" borderId="0" xfId="0" applyFont="1" applyFill="1" applyAlignment="1" applyProtection="1">
      <alignment vertical="top" wrapText="1"/>
      <protection hidden="1"/>
    </xf>
    <xf numFmtId="0" fontId="53" fillId="0" borderId="47" xfId="0" applyFont="1" applyFill="1" applyBorder="1" applyAlignment="1" applyProtection="1">
      <alignment horizontal="center" vertical="top" wrapText="1"/>
      <protection hidden="1"/>
    </xf>
    <xf numFmtId="0" fontId="47" fillId="0" borderId="47" xfId="0" applyFont="1" applyFill="1" applyBorder="1" applyAlignment="1" applyProtection="1">
      <alignment horizontal="center" vertical="top" wrapText="1"/>
      <protection hidden="1"/>
    </xf>
    <xf numFmtId="0" fontId="55" fillId="0" borderId="0" xfId="0" applyFont="1" applyFill="1" applyAlignment="1" applyProtection="1">
      <alignment vertical="top" wrapText="1"/>
      <protection hidden="1"/>
    </xf>
    <xf numFmtId="0" fontId="0" fillId="42" borderId="47" xfId="0" applyFill="1" applyBorder="1" applyAlignment="1" applyProtection="1">
      <alignment horizontal="center" vertical="top" wrapText="1"/>
      <protection hidden="1"/>
    </xf>
    <xf numFmtId="1" fontId="0" fillId="42" borderId="47" xfId="3" applyNumberFormat="1" applyFont="1" applyFill="1" applyBorder="1" applyAlignment="1" applyProtection="1">
      <alignment horizontal="center" vertical="top" wrapText="1"/>
      <protection hidden="1"/>
    </xf>
    <xf numFmtId="0" fontId="1" fillId="0" borderId="0" xfId="0" applyFont="1" applyFill="1" applyAlignment="1" applyProtection="1">
      <alignment vertical="top" wrapText="1"/>
      <protection hidden="1"/>
    </xf>
    <xf numFmtId="0" fontId="0" fillId="0" borderId="2" xfId="0" applyFill="1" applyBorder="1" applyAlignment="1" applyProtection="1">
      <alignment vertical="top" wrapText="1"/>
      <protection hidden="1"/>
    </xf>
    <xf numFmtId="0" fontId="0" fillId="0" borderId="2" xfId="0" applyFill="1" applyBorder="1" applyAlignment="1" applyProtection="1">
      <alignment horizontal="center" vertical="top" wrapText="1"/>
      <protection hidden="1"/>
    </xf>
    <xf numFmtId="0" fontId="0" fillId="0" borderId="53" xfId="0" applyFill="1" applyBorder="1" applyAlignment="1" applyProtection="1">
      <alignment vertical="top" wrapText="1"/>
      <protection hidden="1"/>
    </xf>
    <xf numFmtId="3" fontId="0" fillId="0" borderId="53" xfId="0" applyNumberFormat="1" applyFill="1" applyBorder="1" applyAlignment="1" applyProtection="1">
      <alignment horizontal="center" vertical="top" wrapText="1"/>
      <protection hidden="1"/>
    </xf>
    <xf numFmtId="0" fontId="77" fillId="0" borderId="53" xfId="0" applyFont="1" applyFill="1" applyBorder="1" applyAlignment="1" applyProtection="1">
      <alignment vertical="top" wrapText="1"/>
      <protection hidden="1"/>
    </xf>
    <xf numFmtId="0" fontId="77" fillId="0" borderId="0" xfId="0" applyFont="1" applyFill="1" applyAlignment="1" applyProtection="1">
      <alignment horizontal="center" vertical="top" wrapText="1"/>
      <protection hidden="1"/>
    </xf>
    <xf numFmtId="164" fontId="0" fillId="0" borderId="0" xfId="1" applyNumberFormat="1" applyFont="1" applyFill="1" applyAlignment="1" applyProtection="1">
      <alignment horizontal="right" vertical="top" wrapText="1"/>
      <protection hidden="1"/>
    </xf>
    <xf numFmtId="4" fontId="0" fillId="0" borderId="0" xfId="0" applyNumberFormat="1" applyFill="1" applyAlignment="1" applyProtection="1">
      <alignment vertical="top" wrapText="1"/>
      <protection hidden="1"/>
    </xf>
    <xf numFmtId="0" fontId="0" fillId="0" borderId="1" xfId="0" applyFill="1" applyBorder="1" applyAlignment="1" applyProtection="1">
      <alignment vertical="top" wrapText="1"/>
      <protection hidden="1"/>
    </xf>
    <xf numFmtId="0" fontId="35" fillId="0" borderId="1" xfId="0" applyFont="1" applyFill="1" applyBorder="1" applyAlignment="1" applyProtection="1">
      <alignment vertical="top" wrapText="1"/>
      <protection hidden="1"/>
    </xf>
    <xf numFmtId="4" fontId="0" fillId="0" borderId="1" xfId="0" applyNumberFormat="1" applyFill="1" applyBorder="1" applyAlignment="1" applyProtection="1">
      <alignment vertical="top" wrapText="1"/>
      <protection hidden="1"/>
    </xf>
    <xf numFmtId="9" fontId="0" fillId="0" borderId="1" xfId="3" applyFont="1" applyFill="1" applyBorder="1" applyAlignment="1" applyProtection="1">
      <alignment vertical="top" wrapText="1"/>
      <protection hidden="1"/>
    </xf>
    <xf numFmtId="3" fontId="0" fillId="0" borderId="0" xfId="0" applyNumberFormat="1" applyFill="1" applyAlignment="1" applyProtection="1">
      <alignment vertical="top" wrapText="1"/>
      <protection hidden="1"/>
    </xf>
    <xf numFmtId="9" fontId="0" fillId="0" borderId="0" xfId="3" applyFont="1" applyFill="1" applyAlignment="1" applyProtection="1">
      <alignment horizontal="right" vertical="top" wrapText="1"/>
      <protection hidden="1"/>
    </xf>
    <xf numFmtId="9" fontId="0" fillId="0" borderId="0" xfId="3" applyFont="1" applyFill="1" applyBorder="1" applyAlignment="1" applyProtection="1">
      <alignment vertical="top" wrapText="1"/>
      <protection hidden="1"/>
    </xf>
    <xf numFmtId="0" fontId="103" fillId="0" borderId="0" xfId="0" applyFont="1" applyFill="1" applyAlignment="1" applyProtection="1">
      <alignment vertical="top" wrapText="1"/>
      <protection hidden="1"/>
    </xf>
    <xf numFmtId="9" fontId="0" fillId="0" borderId="0" xfId="0" applyNumberFormat="1" applyFill="1" applyAlignment="1" applyProtection="1">
      <alignment vertical="top" wrapText="1"/>
      <protection hidden="1"/>
    </xf>
    <xf numFmtId="0" fontId="52" fillId="0" borderId="0" xfId="0" applyFont="1" applyFill="1" applyAlignment="1" applyProtection="1">
      <alignment horizontal="left" vertical="top" wrapText="1"/>
      <protection hidden="1"/>
    </xf>
    <xf numFmtId="0" fontId="59" fillId="0" borderId="0" xfId="0" applyFont="1" applyFill="1" applyAlignment="1" applyProtection="1">
      <alignment horizontal="left" vertical="top" wrapText="1"/>
      <protection hidden="1"/>
    </xf>
    <xf numFmtId="3" fontId="59" fillId="0" borderId="0" xfId="0" applyNumberFormat="1" applyFont="1" applyFill="1" applyAlignment="1" applyProtection="1">
      <alignment horizontal="left" vertical="top" wrapText="1"/>
      <protection hidden="1"/>
    </xf>
    <xf numFmtId="0" fontId="0" fillId="0" borderId="54" xfId="0" applyFill="1" applyBorder="1" applyAlignment="1" applyProtection="1">
      <alignment vertical="top" wrapText="1"/>
      <protection hidden="1"/>
    </xf>
    <xf numFmtId="3" fontId="0" fillId="0" borderId="1" xfId="0" applyNumberFormat="1" applyFill="1" applyBorder="1" applyAlignment="1" applyProtection="1">
      <alignment vertical="top" wrapText="1"/>
      <protection hidden="1"/>
    </xf>
    <xf numFmtId="9" fontId="0" fillId="0" borderId="54" xfId="3" applyFont="1" applyFill="1" applyBorder="1" applyAlignment="1" applyProtection="1">
      <alignment vertical="top" wrapText="1"/>
      <protection hidden="1"/>
    </xf>
  </cellXfs>
  <cellStyles count="12">
    <cellStyle name="40% - Accent5 2" xfId="10" xr:uid="{00000000-0005-0000-0000-000000000000}"/>
    <cellStyle name="40% - Accent6 2" xfId="11" xr:uid="{00000000-0005-0000-0000-000001000000}"/>
    <cellStyle name="Comma" xfId="1" builtinId="3"/>
    <cellStyle name="Currency" xfId="2" builtinId="4"/>
    <cellStyle name="Hyperlink" xfId="9" builtinId="8"/>
    <cellStyle name="Normal" xfId="0" builtinId="0"/>
    <cellStyle name="Normal 3 2" xfId="4" xr:uid="{00000000-0005-0000-0000-000006000000}"/>
    <cellStyle name="Normal 3 3" xfId="8" xr:uid="{00000000-0005-0000-0000-000007000000}"/>
    <cellStyle name="Normal 3 3 2" xfId="6" xr:uid="{00000000-0005-0000-0000-000008000000}"/>
    <cellStyle name="Normal 5" xfId="5" xr:uid="{00000000-0005-0000-0000-000009000000}"/>
    <cellStyle name="Normal_19-12-2007 PBF-model v88 Base" xfId="7" xr:uid="{00000000-0005-0000-0000-00000A000000}"/>
    <cellStyle name="Percent" xfId="3" builtinId="5"/>
  </cellStyles>
  <dxfs count="78">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99"/>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rgb="FFFFFF99"/>
        </patternFill>
      </fill>
      <border>
        <left style="thin">
          <color auto="1"/>
        </left>
        <right style="thin">
          <color auto="1"/>
        </right>
        <top style="thin">
          <color auto="1"/>
        </top>
        <bottom style="thin">
          <color auto="1"/>
        </bottom>
      </border>
    </dxf>
    <dxf>
      <font>
        <strike val="0"/>
        <color theme="0" tint="-0.34998626667073579"/>
      </font>
      <fill>
        <patternFill>
          <bgColor theme="0" tint="-0.499984740745262"/>
        </patternFill>
      </fill>
    </dxf>
    <dxf>
      <font>
        <b val="0"/>
        <i val="0"/>
        <color theme="0"/>
      </font>
      <fill>
        <patternFill>
          <bgColor theme="1" tint="0.499984740745262"/>
        </patternFill>
      </fill>
    </dxf>
    <dxf>
      <font>
        <color theme="0" tint="-0.34998626667073579"/>
      </font>
      <fill>
        <patternFill>
          <bgColor theme="1" tint="0.499984740745262"/>
        </patternFill>
      </fill>
      <border>
        <left style="thin">
          <color auto="1"/>
        </left>
        <right style="thin">
          <color auto="1"/>
        </right>
        <top style="thin">
          <color auto="1"/>
        </top>
        <bottom style="thin">
          <color auto="1"/>
        </bottom>
      </border>
    </dxf>
    <dxf>
      <fill>
        <patternFill>
          <bgColor rgb="FFFFFF99"/>
        </patternFill>
      </fill>
      <border>
        <left style="thin">
          <color auto="1"/>
        </left>
        <right style="thin">
          <color auto="1"/>
        </right>
        <top style="thin">
          <color auto="1"/>
        </top>
        <bottom style="thin">
          <color auto="1"/>
        </bottom>
      </border>
    </dxf>
    <dxf>
      <fill>
        <patternFill>
          <bgColor rgb="FFFFFF99"/>
        </patternFill>
      </fill>
      <border>
        <left style="thin">
          <color auto="1"/>
        </left>
        <right style="thin">
          <color auto="1"/>
        </right>
        <top style="thin">
          <color auto="1"/>
        </top>
        <bottom style="thin">
          <color auto="1"/>
        </bottom>
        <vertical/>
        <horizontal/>
      </border>
    </dxf>
    <dxf>
      <font>
        <color theme="0" tint="-0.34998626667073579"/>
      </font>
      <fill>
        <patternFill>
          <bgColor theme="0" tint="-0.499984740745262"/>
        </patternFill>
      </fill>
    </dxf>
    <dxf>
      <fill>
        <patternFill>
          <bgColor rgb="FFFFFF99"/>
        </patternFill>
      </fill>
      <border>
        <left style="thin">
          <color auto="1"/>
        </left>
        <right style="thin">
          <color auto="1"/>
        </right>
        <top style="thin">
          <color auto="1"/>
        </top>
        <bottom style="thin">
          <color auto="1"/>
        </bottom>
      </border>
    </dxf>
    <dxf>
      <font>
        <strike/>
        <color theme="0" tint="-0.34998626667073579"/>
      </font>
      <fill>
        <patternFill patternType="none">
          <bgColor auto="1"/>
        </patternFill>
      </fill>
      <border>
        <left style="thin">
          <color auto="1"/>
        </left>
        <right style="thin">
          <color auto="1"/>
        </right>
        <top style="thin">
          <color auto="1"/>
        </top>
        <bottom style="thin">
          <color auto="1"/>
        </bottom>
      </border>
    </dxf>
    <dxf>
      <font>
        <strike/>
        <color theme="0" tint="-0.34998626667073579"/>
      </font>
      <fill>
        <patternFill patternType="none">
          <bgColor auto="1"/>
        </patternFill>
      </fill>
    </dxf>
    <dxf>
      <font>
        <strike/>
        <color theme="0" tint="-0.34998626667073579"/>
      </font>
      <fill>
        <patternFill patternType="none">
          <bgColor auto="1"/>
        </patternFill>
      </fill>
      <border>
        <left style="thin">
          <color auto="1"/>
        </left>
        <right style="thin">
          <color auto="1"/>
        </right>
        <top style="thin">
          <color auto="1"/>
        </top>
        <bottom style="thin">
          <color auto="1"/>
        </bottom>
      </border>
    </dxf>
    <dxf>
      <font>
        <strike/>
        <color theme="0" tint="-0.34998626667073579"/>
      </font>
      <fill>
        <patternFill patternType="none">
          <bgColor auto="1"/>
        </patternFill>
      </fill>
      <border>
        <left/>
        <right/>
        <top/>
        <bottom/>
      </border>
    </dxf>
    <dxf>
      <font>
        <strike/>
        <color theme="0" tint="-0.34998626667073579"/>
      </font>
      <fill>
        <patternFill patternType="none">
          <bgColor auto="1"/>
        </patternFill>
      </fill>
    </dxf>
    <dxf>
      <font>
        <strike/>
        <color theme="0" tint="-0.34998626667073579"/>
      </font>
      <fill>
        <patternFill patternType="none">
          <bgColor auto="1"/>
        </patternFill>
      </fill>
    </dxf>
    <dxf>
      <font>
        <b val="0"/>
        <i val="0"/>
        <color auto="1"/>
      </font>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ont>
        <strike/>
        <color theme="0" tint="-0.34998626667073579"/>
      </font>
      <fill>
        <patternFill patternType="none">
          <bgColor auto="1"/>
        </patternFill>
      </fill>
      <border>
        <left style="thin">
          <color auto="1"/>
        </left>
        <right style="thin">
          <color auto="1"/>
        </right>
        <top style="thin">
          <color auto="1"/>
        </top>
        <bottom style="thin">
          <color auto="1"/>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3"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top style="thin">
          <color theme="1"/>
        </top>
      </border>
    </dxf>
  </dxfs>
  <tableStyles count="0" defaultTableStyle="TableStyleMedium2" defaultPivotStyle="PivotStyleLight16"/>
  <colors>
    <mruColors>
      <color rgb="FF0563C1"/>
      <color rgb="FFFFFF99"/>
      <color rgb="FFAAB9CB"/>
      <color rgb="FF42536B"/>
      <color rgb="FF90AB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pt-PT" sz="1200">
                <a:effectLst/>
              </a:rPr>
              <a:t>                       Benchmarking de intervenções de saúde digital</a:t>
            </a:r>
            <a:endParaRPr lang="en-US" sz="1200">
              <a:effectLst/>
            </a:endParaRPr>
          </a:p>
        </c:rich>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0"/>
          <c:tx>
            <c:strRef>
              <c:f>Benchmarking!$D$46</c:f>
              <c:strCache>
                <c:ptCount val="1"/>
                <c:pt idx="0">
                  <c:v>Benchmark digital health intervention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33-476A-8C74-49A2E30DDD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D750-453D-9D49-91679A3B34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33-476A-8C74-49A2E30DDD6C}"/>
              </c:ext>
            </c:extLst>
          </c:dPt>
          <c:dLbls>
            <c:dLbl>
              <c:idx val="0"/>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133-476A-8C74-49A2E30DDD6C}"/>
                </c:ext>
              </c:extLst>
            </c:dLbl>
            <c:dLbl>
              <c:idx val="1"/>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750-453D-9D49-91679A3B3465}"/>
                </c:ext>
              </c:extLst>
            </c:dLbl>
            <c:dLbl>
              <c:idx val="2"/>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133-476A-8C74-49A2E30DDD6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Benchmarking!$B$47:$B$49</c:f>
              <c:strCache>
                <c:ptCount val="3"/>
                <c:pt idx="0">
                  <c:v>Desenvolvimento </c:v>
                </c:pt>
                <c:pt idx="1">
                  <c:v>Implantações </c:v>
                </c:pt>
                <c:pt idx="2">
                  <c:v>Operações </c:v>
                </c:pt>
              </c:strCache>
            </c:strRef>
          </c:cat>
          <c:val>
            <c:numRef>
              <c:f>Benchmarking!$D$47:$D$49</c:f>
              <c:numCache>
                <c:formatCode>#,#00;;;</c:formatCode>
                <c:ptCount val="3"/>
                <c:pt idx="0">
                  <c:v>751000</c:v>
                </c:pt>
                <c:pt idx="1">
                  <c:v>1294278</c:v>
                </c:pt>
                <c:pt idx="2">
                  <c:v>2233015</c:v>
                </c:pt>
              </c:numCache>
            </c:numRef>
          </c:val>
          <c:extLst>
            <c:ext xmlns:c16="http://schemas.microsoft.com/office/drawing/2014/chart" uri="{C3380CC4-5D6E-409C-BE32-E72D297353CC}">
              <c16:uniqueId val="{0000000E-D750-453D-9D49-91679A3B346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pt-PT" sz="1200">
                <a:effectLst/>
              </a:rPr>
              <a:t>Intervenção de Saúde Digital do Utilizador</a:t>
            </a:r>
            <a:endParaRPr lang="en-US"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Benchmarking!$C$46</c:f>
              <c:strCache>
                <c:ptCount val="1"/>
                <c:pt idx="0">
                  <c:v>User digital health intervention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18-46D5-989A-CCAC4A9C1C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18-46D5-989A-CCAC4A9C1C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18-46D5-989A-CCAC4A9C1C2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Benchmarking!$B$47:$B$49</c:f>
              <c:strCache>
                <c:ptCount val="3"/>
                <c:pt idx="0">
                  <c:v>Desenvolvimento </c:v>
                </c:pt>
                <c:pt idx="1">
                  <c:v>Implantações </c:v>
                </c:pt>
                <c:pt idx="2">
                  <c:v>Operações </c:v>
                </c:pt>
              </c:strCache>
            </c:strRef>
          </c:cat>
          <c:val>
            <c:numRef>
              <c:f>Benchmarking!$C$47:$C$49</c:f>
              <c:numCache>
                <c:formatCode>#,#00;;;</c:formatCode>
                <c:ptCount val="3"/>
                <c:pt idx="0">
                  <c:v>0</c:v>
                </c:pt>
                <c:pt idx="1">
                  <c:v>0</c:v>
                </c:pt>
                <c:pt idx="2">
                  <c:v>0</c:v>
                </c:pt>
              </c:numCache>
            </c:numRef>
          </c:val>
          <c:extLst>
            <c:ext xmlns:c16="http://schemas.microsoft.com/office/drawing/2014/chart" uri="{C3380CC4-5D6E-409C-BE32-E72D297353CC}">
              <c16:uniqueId val="{00000000-011E-4FD8-96C5-316CBBB564EC}"/>
            </c:ext>
          </c:extLst>
        </c:ser>
        <c:dLbls>
          <c:dLblPos val="ctr"/>
          <c:showLegendKey val="0"/>
          <c:showVal val="1"/>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Tool input data compared</a:t>
            </a:r>
            <a:r>
              <a:rPr lang="en-US" baseline="0"/>
              <a:t> to reference case</a:t>
            </a:r>
            <a:endParaRPr lang="en-US"/>
          </a:p>
        </c:rich>
      </c:tx>
      <c:layout>
        <c:manualLayout>
          <c:xMode val="edge"/>
          <c:yMode val="edge"/>
          <c:x val="0.1977326779612236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'LMIS TCO'!$M$42</c:f>
              <c:strCache>
                <c:ptCount val="1"/>
                <c:pt idx="0">
                  <c:v>Phase III: Operations </c:v>
                </c:pt>
              </c:strCache>
            </c:strRef>
          </c:tx>
          <c:spPr>
            <a:solidFill>
              <a:schemeClr val="accent1"/>
            </a:solidFill>
            <a:ln>
              <a:noFill/>
            </a:ln>
            <a:effectLst/>
          </c:spPr>
          <c:invertIfNegative val="0"/>
          <c:dLbls>
            <c:dLbl>
              <c:idx val="0"/>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9485-485B-826D-6F695C2253F3}"/>
                </c:ext>
              </c:extLst>
            </c:dLbl>
            <c:dLbl>
              <c:idx val="1"/>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485-485B-826D-6F695C2253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'LMIS TCO'!$N$41:$O$41</c:f>
              <c:numCache>
                <c:formatCode>_(* #,##0_);_(* \(#,##0\);_(* "-"??_);_(@_)</c:formatCode>
                <c:ptCount val="2"/>
                <c:pt idx="0">
                  <c:v>1989338</c:v>
                </c:pt>
                <c:pt idx="1">
                  <c:v>1989338</c:v>
                </c:pt>
              </c:numCache>
            </c:numRef>
          </c:cat>
          <c:val>
            <c:numRef>
              <c:f>'LMIS TCO'!$N$42:$O$42</c:f>
              <c:numCache>
                <c:formatCode>_(* #,##0_);_(* \(#,##0\);_(* "-"??_);_(@_)</c:formatCode>
                <c:ptCount val="2"/>
                <c:pt idx="0">
                  <c:v>2121661</c:v>
                </c:pt>
                <c:pt idx="1">
                  <c:v>2233015</c:v>
                </c:pt>
              </c:numCache>
            </c:numRef>
          </c:val>
          <c:extLst>
            <c:ext xmlns:c16="http://schemas.microsoft.com/office/drawing/2014/chart" uri="{C3380CC4-5D6E-409C-BE32-E72D297353CC}">
              <c16:uniqueId val="{00000000-9485-485B-826D-6F695C2253F3}"/>
            </c:ext>
          </c:extLst>
        </c:ser>
        <c:ser>
          <c:idx val="1"/>
          <c:order val="1"/>
          <c:tx>
            <c:strRef>
              <c:f>'LMIS TCO'!$M$43</c:f>
              <c:strCache>
                <c:ptCount val="1"/>
                <c:pt idx="0">
                  <c:v>Phase I: Development</c:v>
                </c:pt>
              </c:strCache>
            </c:strRef>
          </c:tx>
          <c:spPr>
            <a:solidFill>
              <a:schemeClr val="accent2"/>
            </a:solidFill>
            <a:ln>
              <a:noFill/>
            </a:ln>
            <a:effectLst/>
          </c:spPr>
          <c:invertIfNegative val="0"/>
          <c:dLbls>
            <c:dLbl>
              <c:idx val="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9485-485B-826D-6F695C2253F3}"/>
                </c:ext>
              </c:extLst>
            </c:dLbl>
            <c:dLbl>
              <c:idx val="1"/>
              <c:layout>
                <c:manualLayout>
                  <c:x val="2.503476777296028E-3"/>
                  <c:y val="4.6296296296297144E-3"/>
                </c:manualLayout>
              </c:layout>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485-485B-826D-6F695C2253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'LMIS TCO'!$N$41:$O$41</c:f>
              <c:numCache>
                <c:formatCode>_(* #,##0_);_(* \(#,##0\);_(* "-"??_);_(@_)</c:formatCode>
                <c:ptCount val="2"/>
                <c:pt idx="0">
                  <c:v>1989338</c:v>
                </c:pt>
                <c:pt idx="1">
                  <c:v>1989338</c:v>
                </c:pt>
              </c:numCache>
            </c:numRef>
          </c:cat>
          <c:val>
            <c:numRef>
              <c:f>'LMIS TCO'!$N$43:$O$43</c:f>
              <c:numCache>
                <c:formatCode>0%</c:formatCode>
                <c:ptCount val="2"/>
                <c:pt idx="0">
                  <c:v>0.12884088341616518</c:v>
                </c:pt>
                <c:pt idx="1">
                  <c:v>0.15100476479349043</c:v>
                </c:pt>
              </c:numCache>
            </c:numRef>
          </c:val>
          <c:extLst>
            <c:ext xmlns:c16="http://schemas.microsoft.com/office/drawing/2014/chart" uri="{C3380CC4-5D6E-409C-BE32-E72D297353CC}">
              <c16:uniqueId val="{00000001-9485-485B-826D-6F695C2253F3}"/>
            </c:ext>
          </c:extLst>
        </c:ser>
        <c:ser>
          <c:idx val="2"/>
          <c:order val="2"/>
          <c:tx>
            <c:strRef>
              <c:f>'LMIS TCO'!#REF!</c:f>
              <c:strCache>
                <c:ptCount val="1"/>
                <c:pt idx="0">
                  <c:v>#REF!</c:v>
                </c:pt>
              </c:strCache>
            </c:strRef>
          </c:tx>
          <c:spPr>
            <a:solidFill>
              <a:schemeClr val="accent3"/>
            </a:solidFill>
            <a:ln>
              <a:noFill/>
            </a:ln>
            <a:effectLst/>
          </c:spPr>
          <c:invertIfNegative val="0"/>
          <c:cat>
            <c:numRef>
              <c:f>'LMIS TCO'!$N$41:$O$41</c:f>
              <c:numCache>
                <c:formatCode>_(* #,##0_);_(* \(#,##0\);_(* "-"??_);_(@_)</c:formatCode>
                <c:ptCount val="2"/>
                <c:pt idx="0">
                  <c:v>1989338</c:v>
                </c:pt>
                <c:pt idx="1">
                  <c:v>1989338</c:v>
                </c:pt>
              </c:numCache>
            </c:numRef>
          </c:cat>
          <c:val>
            <c:numRef>
              <c:f>'LMIS TCO'!#REF!</c:f>
              <c:numCache>
                <c:formatCode>General</c:formatCode>
                <c:ptCount val="1"/>
                <c:pt idx="0">
                  <c:v>1</c:v>
                </c:pt>
              </c:numCache>
            </c:numRef>
          </c:val>
          <c:extLst>
            <c:ext xmlns:c16="http://schemas.microsoft.com/office/drawing/2014/chart" uri="{C3380CC4-5D6E-409C-BE32-E72D297353CC}">
              <c16:uniqueId val="{00000003-9485-485B-826D-6F695C2253F3}"/>
            </c:ext>
          </c:extLst>
        </c:ser>
        <c:ser>
          <c:idx val="3"/>
          <c:order val="3"/>
          <c:tx>
            <c:strRef>
              <c:f>'LMIS TCO'!$M$44</c:f>
              <c:strCache>
                <c:ptCount val="1"/>
                <c:pt idx="0">
                  <c:v>Phase II: Deployment </c:v>
                </c:pt>
              </c:strCache>
            </c:strRef>
          </c:tx>
          <c:spPr>
            <a:solidFill>
              <a:schemeClr val="accent4"/>
            </a:solidFill>
            <a:ln>
              <a:noFill/>
            </a:ln>
            <a:effectLst/>
          </c:spPr>
          <c:invertIfNegative val="0"/>
          <c:dLbls>
            <c:dLbl>
              <c:idx val="0"/>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9485-485B-826D-6F695C2253F3}"/>
                </c:ext>
              </c:extLst>
            </c:dLbl>
            <c:dLbl>
              <c:idx val="1"/>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485-485B-826D-6F695C2253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'LMIS TCO'!$N$41:$O$41</c:f>
              <c:numCache>
                <c:formatCode>_(* #,##0_);_(* \(#,##0\);_(* "-"??_);_(@_)</c:formatCode>
                <c:ptCount val="2"/>
                <c:pt idx="0">
                  <c:v>1989338</c:v>
                </c:pt>
                <c:pt idx="1">
                  <c:v>1989338</c:v>
                </c:pt>
              </c:numCache>
            </c:numRef>
          </c:cat>
          <c:val>
            <c:numRef>
              <c:f>'LMIS TCO'!$N$44:$O$44</c:f>
              <c:numCache>
                <c:formatCode>0%</c:formatCode>
                <c:ptCount val="2"/>
                <c:pt idx="0">
                  <c:v>0.42155931798247892</c:v>
                </c:pt>
                <c:pt idx="1">
                  <c:v>0.39999935657090901</c:v>
                </c:pt>
              </c:numCache>
            </c:numRef>
          </c:val>
          <c:extLst>
            <c:ext xmlns:c16="http://schemas.microsoft.com/office/drawing/2014/chart" uri="{C3380CC4-5D6E-409C-BE32-E72D297353CC}">
              <c16:uniqueId val="{00000004-9485-485B-826D-6F695C2253F3}"/>
            </c:ext>
          </c:extLst>
        </c:ser>
        <c:dLbls>
          <c:showLegendKey val="0"/>
          <c:showVal val="0"/>
          <c:showCatName val="0"/>
          <c:showSerName val="0"/>
          <c:showPercent val="0"/>
          <c:showBubbleSize val="0"/>
        </c:dLbls>
        <c:gapWidth val="150"/>
        <c:overlap val="100"/>
        <c:axId val="741637128"/>
        <c:axId val="741642376"/>
      </c:barChart>
      <c:catAx>
        <c:axId val="741637128"/>
        <c:scaling>
          <c:orientation val="minMax"/>
        </c:scaling>
        <c:delete val="0"/>
        <c:axPos val="b"/>
        <c:numFmt formatCode="_(* #,##0_);_(* \(#,##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42376"/>
        <c:crosses val="autoZero"/>
        <c:auto val="1"/>
        <c:lblAlgn val="ctr"/>
        <c:lblOffset val="100"/>
        <c:noMultiLvlLbl val="0"/>
      </c:catAx>
      <c:valAx>
        <c:axId val="74164237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37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Tool input data versus reference case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Phase I: Development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0.15446321564442939</c:v>
              </c:pt>
              <c:pt idx="1">
                <c:v>0.15100476479349043</c:v>
              </c:pt>
            </c:numLit>
          </c:val>
          <c:extLst>
            <c:ext xmlns:c16="http://schemas.microsoft.com/office/drawing/2014/chart" uri="{C3380CC4-5D6E-409C-BE32-E72D297353CC}">
              <c16:uniqueId val="{00000000-BAEA-4D7C-BC36-4BCC8687F92B}"/>
            </c:ext>
          </c:extLst>
        </c:ser>
        <c:ser>
          <c:idx val="1"/>
          <c:order val="1"/>
          <c:tx>
            <c:v>Phase II: Deployment </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0.40916051196226078</c:v>
              </c:pt>
              <c:pt idx="1">
                <c:v>0.39999935657090901</c:v>
              </c:pt>
            </c:numLit>
          </c:val>
          <c:extLst>
            <c:ext xmlns:c16="http://schemas.microsoft.com/office/drawing/2014/chart" uri="{C3380CC4-5D6E-409C-BE32-E72D297353CC}">
              <c16:uniqueId val="{00000001-BAEA-4D7C-BC36-4BCC8687F92B}"/>
            </c:ext>
          </c:extLst>
        </c:ser>
        <c:ser>
          <c:idx val="3"/>
          <c:order val="2"/>
          <c:tx>
            <c:v>Phase III: Operations </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0.43637627239330984</c:v>
              </c:pt>
              <c:pt idx="1">
                <c:v>0.44899587863560059</c:v>
              </c:pt>
            </c:numLit>
          </c:val>
          <c:extLst>
            <c:ext xmlns:c16="http://schemas.microsoft.com/office/drawing/2014/chart" uri="{C3380CC4-5D6E-409C-BE32-E72D297353CC}">
              <c16:uniqueId val="{00000002-BAEA-4D7C-BC36-4BCC8687F92B}"/>
            </c:ext>
          </c:extLst>
        </c:ser>
        <c:dLbls>
          <c:dLblPos val="ctr"/>
          <c:showLegendKey val="0"/>
          <c:showVal val="1"/>
          <c:showCatName val="0"/>
          <c:showSerName val="0"/>
          <c:showPercent val="0"/>
          <c:showBubbleSize val="0"/>
        </c:dLbls>
        <c:gapWidth val="55"/>
        <c:overlap val="100"/>
        <c:axId val="450974720"/>
        <c:axId val="450966520"/>
      </c:barChart>
      <c:catAx>
        <c:axId val="45097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966520"/>
        <c:crosses val="autoZero"/>
        <c:auto val="1"/>
        <c:lblAlgn val="ctr"/>
        <c:lblOffset val="100"/>
        <c:noMultiLvlLbl val="0"/>
      </c:catAx>
      <c:valAx>
        <c:axId val="450966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974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Tool input data compared</a:t>
            </a:r>
            <a:r>
              <a:rPr lang="en-US" baseline="0"/>
              <a:t> to reference case</a:t>
            </a:r>
            <a:endParaRPr lang="en-US"/>
          </a:p>
        </c:rich>
      </c:tx>
      <c:layout>
        <c:manualLayout>
          <c:xMode val="edge"/>
          <c:yMode val="edge"/>
          <c:x val="0.1977326779612236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Phase I: Development</c:v>
          </c:tx>
          <c:spPr>
            <a:solidFill>
              <a:schemeClr val="accent1"/>
            </a:solidFill>
            <a:ln>
              <a:noFill/>
            </a:ln>
            <a:effectLst/>
          </c:spPr>
          <c:invertIfNegative val="0"/>
          <c:dLbls>
            <c:dLbl>
              <c:idx val="0"/>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483-4D6B-859D-9B217E9E14B7}"/>
                </c:ext>
              </c:extLst>
            </c:dLbl>
            <c:dLbl>
              <c:idx val="1"/>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483-4D6B-859D-9B217E9E14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751000</c:v>
              </c:pt>
              <c:pt idx="1">
                <c:v>751000</c:v>
              </c:pt>
            </c:numLit>
          </c:val>
          <c:extLst>
            <c:ext xmlns:c16="http://schemas.microsoft.com/office/drawing/2014/chart" uri="{C3380CC4-5D6E-409C-BE32-E72D297353CC}">
              <c16:uniqueId val="{00000002-7483-4D6B-859D-9B217E9E14B7}"/>
            </c:ext>
          </c:extLst>
        </c:ser>
        <c:ser>
          <c:idx val="1"/>
          <c:order val="1"/>
          <c:tx>
            <c:v>Phase II: Deployment </c:v>
          </c:tx>
          <c:spPr>
            <a:solidFill>
              <a:schemeClr val="accent2"/>
            </a:solidFill>
            <a:ln>
              <a:noFill/>
            </a:ln>
            <a:effectLst/>
          </c:spPr>
          <c:invertIfNegative val="0"/>
          <c:dLbls>
            <c:dLbl>
              <c:idx val="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483-4D6B-859D-9B217E9E14B7}"/>
                </c:ext>
              </c:extLst>
            </c:dLbl>
            <c:dLbl>
              <c:idx val="1"/>
              <c:layout>
                <c:manualLayout>
                  <c:x val="2.503476777296028E-3"/>
                  <c:y val="4.6296296296297144E-3"/>
                </c:manualLayout>
              </c:layout>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483-4D6B-859D-9B217E9E14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1989338</c:v>
              </c:pt>
              <c:pt idx="1">
                <c:v>1989338</c:v>
              </c:pt>
            </c:numLit>
          </c:val>
          <c:extLst>
            <c:ext xmlns:c16="http://schemas.microsoft.com/office/drawing/2014/chart" uri="{C3380CC4-5D6E-409C-BE32-E72D297353CC}">
              <c16:uniqueId val="{00000005-7483-4D6B-859D-9B217E9E14B7}"/>
            </c:ext>
          </c:extLst>
        </c:ser>
        <c:ser>
          <c:idx val="2"/>
          <c:order val="2"/>
          <c:tx>
            <c:strRef>
              <c:f>'LMIS TCO'!#REF!</c:f>
              <c:strCache>
                <c:ptCount val="1"/>
                <c:pt idx="0">
                  <c:v>#REF!</c:v>
                </c:pt>
              </c:strCache>
            </c:strRef>
          </c:tx>
          <c:spPr>
            <a:solidFill>
              <a:schemeClr val="accent3"/>
            </a:solidFill>
            <a:ln>
              <a:noFill/>
            </a:ln>
            <a:effectLst/>
          </c:spPr>
          <c:invertIfNegative val="0"/>
          <c:cat>
            <c:strLit>
              <c:ptCount val="2"/>
              <c:pt idx="0">
                <c:v>Tool Data</c:v>
              </c:pt>
              <c:pt idx="1">
                <c:v>Reference</c:v>
              </c:pt>
            </c:strLit>
          </c:cat>
          <c:val>
            <c:numRef>
              <c:f>'LMIS TCO'!#REF!</c:f>
              <c:numCache>
                <c:formatCode>General</c:formatCode>
                <c:ptCount val="1"/>
                <c:pt idx="0">
                  <c:v>1</c:v>
                </c:pt>
              </c:numCache>
            </c:numRef>
          </c:val>
          <c:extLst>
            <c:ext xmlns:c16="http://schemas.microsoft.com/office/drawing/2014/chart" uri="{C3380CC4-5D6E-409C-BE32-E72D297353CC}">
              <c16:uniqueId val="{00000006-7483-4D6B-859D-9B217E9E14B7}"/>
            </c:ext>
          </c:extLst>
        </c:ser>
        <c:ser>
          <c:idx val="3"/>
          <c:order val="3"/>
          <c:tx>
            <c:v>Phase III: Operations </c:v>
          </c:tx>
          <c:spPr>
            <a:solidFill>
              <a:schemeClr val="accent4"/>
            </a:solidFill>
            <a:ln>
              <a:noFill/>
            </a:ln>
            <a:effectLst/>
          </c:spPr>
          <c:invertIfNegative val="0"/>
          <c:dLbls>
            <c:dLbl>
              <c:idx val="0"/>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483-4D6B-859D-9B217E9E14B7}"/>
                </c:ext>
              </c:extLst>
            </c:dLbl>
            <c:dLbl>
              <c:idx val="1"/>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483-4D6B-859D-9B217E9E14B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2121661</c:v>
              </c:pt>
              <c:pt idx="1">
                <c:v>2233015</c:v>
              </c:pt>
            </c:numLit>
          </c:val>
          <c:extLst>
            <c:ext xmlns:c16="http://schemas.microsoft.com/office/drawing/2014/chart" uri="{C3380CC4-5D6E-409C-BE32-E72D297353CC}">
              <c16:uniqueId val="{00000009-7483-4D6B-859D-9B217E9E14B7}"/>
            </c:ext>
          </c:extLst>
        </c:ser>
        <c:dLbls>
          <c:showLegendKey val="0"/>
          <c:showVal val="0"/>
          <c:showCatName val="0"/>
          <c:showSerName val="0"/>
          <c:showPercent val="0"/>
          <c:showBubbleSize val="0"/>
        </c:dLbls>
        <c:gapWidth val="150"/>
        <c:overlap val="100"/>
        <c:axId val="741637128"/>
        <c:axId val="741642376"/>
      </c:barChart>
      <c:catAx>
        <c:axId val="74163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42376"/>
        <c:crosses val="autoZero"/>
        <c:auto val="1"/>
        <c:lblAlgn val="ctr"/>
        <c:lblOffset val="100"/>
        <c:noMultiLvlLbl val="0"/>
      </c:catAx>
      <c:valAx>
        <c:axId val="741642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37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Reference</a:t>
            </a:r>
            <a:r>
              <a:rPr lang="en-US" baseline="0"/>
              <a:t> case cost breakdown </a:t>
            </a:r>
          </a:p>
          <a:p>
            <a:pPr>
              <a:defRPr/>
            </a:pPr>
            <a:r>
              <a:rPr lang="en-US" baseline="0"/>
              <a:t>(LMIS)</a:t>
            </a:r>
            <a:endParaRPr lang="en-US"/>
          </a:p>
        </c:rich>
      </c:tx>
      <c:layout>
        <c:manualLayout>
          <c:xMode val="edge"/>
          <c:yMode val="edge"/>
          <c:x val="2.3381889763779563E-2"/>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1497550306211728"/>
          <c:y val="0.18046843102945465"/>
          <c:w val="0.45060454943132106"/>
          <c:h val="0.7510075823855351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8BF-4121-9ACA-3989D7CEE4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8BF-4121-9ACA-3989D7CEE4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8BF-4121-9ACA-3989D7CEE4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'LMIS TCO_TZ Reference'!$C$41:$C$43</c:f>
              <c:strCache>
                <c:ptCount val="3"/>
                <c:pt idx="0">
                  <c:v>I. Development Phase</c:v>
                </c:pt>
                <c:pt idx="1">
                  <c:v>II. Deployment Phase</c:v>
                </c:pt>
                <c:pt idx="2">
                  <c:v>III. Operational Phase</c:v>
                </c:pt>
              </c:strCache>
            </c:strRef>
          </c:cat>
          <c:val>
            <c:numRef>
              <c:f>'LMIS TCO_TZ Reference'!$E$41:$E$43</c:f>
              <c:numCache>
                <c:formatCode>0%</c:formatCode>
                <c:ptCount val="3"/>
                <c:pt idx="0">
                  <c:v>0.15719212582570344</c:v>
                </c:pt>
                <c:pt idx="1">
                  <c:v>0.37541456545168245</c:v>
                </c:pt>
                <c:pt idx="2">
                  <c:v>0.46739330872261409</c:v>
                </c:pt>
              </c:numCache>
            </c:numRef>
          </c:val>
          <c:extLst>
            <c:ext xmlns:c16="http://schemas.microsoft.com/office/drawing/2014/chart" uri="{C3380CC4-5D6E-409C-BE32-E72D297353CC}">
              <c16:uniqueId val="{00000008-B8BF-4121-9ACA-3989D7CEE433}"/>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scatterChart>
        <c:scatterStyle val="lineMarker"/>
        <c:varyColors val="0"/>
        <c:ser>
          <c:idx val="0"/>
          <c:order val="0"/>
          <c:tx>
            <c:strRef>
              <c:f>'Variance by % of TCO'!$M$3</c:f>
              <c:strCache>
                <c:ptCount val="1"/>
                <c:pt idx="0">
                  <c:v>Tanzania</c:v>
                </c:pt>
              </c:strCache>
            </c:strRef>
          </c:tx>
          <c:spPr>
            <a:ln w="25400" cap="rnd">
              <a:noFill/>
              <a:round/>
            </a:ln>
            <a:effectLst/>
          </c:spPr>
          <c:marker>
            <c:symbol val="circle"/>
            <c:size val="5"/>
            <c:spPr>
              <a:solidFill>
                <a:schemeClr val="accent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TCO'!$N$3:$P$3</c:f>
              <c:numCache>
                <c:formatCode>0%</c:formatCode>
                <c:ptCount val="3"/>
                <c:pt idx="0">
                  <c:v>0.37541456545168245</c:v>
                </c:pt>
                <c:pt idx="1">
                  <c:v>0.15719212582570344</c:v>
                </c:pt>
                <c:pt idx="2">
                  <c:v>0.46739330872261409</c:v>
                </c:pt>
              </c:numCache>
            </c:numRef>
          </c:yVal>
          <c:smooth val="0"/>
          <c:extLst>
            <c:ext xmlns:c16="http://schemas.microsoft.com/office/drawing/2014/chart" uri="{C3380CC4-5D6E-409C-BE32-E72D297353CC}">
              <c16:uniqueId val="{00000000-B5E4-4E47-B189-C0F138B81BFB}"/>
            </c:ext>
          </c:extLst>
        </c:ser>
        <c:ser>
          <c:idx val="1"/>
          <c:order val="1"/>
          <c:tx>
            <c:strRef>
              <c:f>'Variance by % of TCO'!$M$4</c:f>
              <c:strCache>
                <c:ptCount val="1"/>
                <c:pt idx="0">
                  <c:v>Ethiopia</c:v>
                </c:pt>
              </c:strCache>
            </c:strRef>
          </c:tx>
          <c:spPr>
            <a:ln w="25400" cap="rnd">
              <a:noFill/>
              <a:round/>
            </a:ln>
            <a:effectLst/>
          </c:spPr>
          <c:marker>
            <c:symbol val="circle"/>
            <c:size val="5"/>
            <c:spPr>
              <a:solidFill>
                <a:schemeClr val="accent1"/>
              </a:solidFill>
              <a:ln w="9525">
                <a:noFill/>
              </a:ln>
              <a:effectLst/>
            </c:spPr>
          </c:marker>
          <c:dLbls>
            <c:dLbl>
              <c:idx val="0"/>
              <c:layout>
                <c:manualLayout>
                  <c:x val="0"/>
                  <c:y val="2.46847556778408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TCO'!$N$4:$P$4</c:f>
              <c:numCache>
                <c:formatCode>0%</c:formatCode>
                <c:ptCount val="3"/>
                <c:pt idx="0">
                  <c:v>7.1770009741510155E-2</c:v>
                </c:pt>
                <c:pt idx="1">
                  <c:v>0.36032583895115328</c:v>
                </c:pt>
                <c:pt idx="2">
                  <c:v>0.56790415130733651</c:v>
                </c:pt>
              </c:numCache>
            </c:numRef>
          </c:yVal>
          <c:smooth val="0"/>
          <c:extLst>
            <c:ext xmlns:c16="http://schemas.microsoft.com/office/drawing/2014/chart" uri="{C3380CC4-5D6E-409C-BE32-E72D297353CC}">
              <c16:uniqueId val="{00000001-B5E4-4E47-B189-C0F138B81BFB}"/>
            </c:ext>
          </c:extLst>
        </c:ser>
        <c:ser>
          <c:idx val="2"/>
          <c:order val="2"/>
          <c:tx>
            <c:strRef>
              <c:f>'Variance by % of TCO'!$M$5</c:f>
              <c:strCache>
                <c:ptCount val="1"/>
                <c:pt idx="0">
                  <c:v>Mozambique</c:v>
                </c:pt>
              </c:strCache>
            </c:strRef>
          </c:tx>
          <c:spPr>
            <a:ln w="25400" cap="rnd">
              <a:noFill/>
              <a:round/>
            </a:ln>
            <a:effectLst/>
          </c:spPr>
          <c:marker>
            <c:symbol val="circle"/>
            <c:size val="5"/>
            <c:spPr>
              <a:solidFill>
                <a:schemeClr val="accent1"/>
              </a:solidFill>
              <a:ln w="9525">
                <a:noFill/>
              </a:ln>
              <a:effectLst/>
            </c:spPr>
          </c:marker>
          <c:dLbls>
            <c:dLbl>
              <c:idx val="0"/>
              <c:layout>
                <c:manualLayout>
                  <c:x val="-4.6504738631468071E-3"/>
                  <c:y val="-3.526393668262997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B5E4-4E47-B189-C0F138B81BFB}"/>
                </c:ext>
              </c:extLst>
            </c:dLbl>
            <c:dLbl>
              <c:idx val="2"/>
              <c:layout>
                <c:manualLayout>
                  <c:x val="-6.9658597909547301E-3"/>
                  <c:y val="-3.489927574384921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TCO'!$N$5:$P$5</c:f>
              <c:numCache>
                <c:formatCode>0%</c:formatCode>
                <c:ptCount val="3"/>
                <c:pt idx="0">
                  <c:v>0.16307501718419629</c:v>
                </c:pt>
                <c:pt idx="1">
                  <c:v>9.1609146435488051E-2</c:v>
                </c:pt>
                <c:pt idx="2">
                  <c:v>0.74531583638031562</c:v>
                </c:pt>
              </c:numCache>
            </c:numRef>
          </c:yVal>
          <c:smooth val="0"/>
          <c:extLst>
            <c:ext xmlns:c16="http://schemas.microsoft.com/office/drawing/2014/chart" uri="{C3380CC4-5D6E-409C-BE32-E72D297353CC}">
              <c16:uniqueId val="{00000002-B5E4-4E47-B189-C0F138B81BFB}"/>
            </c:ext>
          </c:extLst>
        </c:ser>
        <c:ser>
          <c:idx val="3"/>
          <c:order val="3"/>
          <c:tx>
            <c:strRef>
              <c:f>'Variance by % of TCO'!$M$6</c:f>
              <c:strCache>
                <c:ptCount val="1"/>
                <c:pt idx="0">
                  <c:v>Malawi</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1"/>
              <c:layout>
                <c:manualLayout>
                  <c:x val="-8.5137302820503912E-17"/>
                  <c:y val="1.046978272315476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TCO'!$N$6:$P$6</c:f>
              <c:numCache>
                <c:formatCode>0%</c:formatCode>
                <c:ptCount val="3"/>
                <c:pt idx="0">
                  <c:v>0.35129607765971405</c:v>
                </c:pt>
                <c:pt idx="1">
                  <c:v>5.1391184573002756E-2</c:v>
                </c:pt>
                <c:pt idx="2">
                  <c:v>0.59731273776728322</c:v>
                </c:pt>
              </c:numCache>
            </c:numRef>
          </c:yVal>
          <c:smooth val="0"/>
          <c:extLst>
            <c:ext xmlns:c16="http://schemas.microsoft.com/office/drawing/2014/chart" uri="{C3380CC4-5D6E-409C-BE32-E72D297353CC}">
              <c16:uniqueId val="{00000008-B5E4-4E47-B189-C0F138B81BFB}"/>
            </c:ext>
          </c:extLst>
        </c:ser>
        <c:ser>
          <c:idx val="4"/>
          <c:order val="4"/>
          <c:tx>
            <c:strRef>
              <c:f>'Variance by % of TCO'!$M$7</c:f>
              <c:strCache>
                <c:ptCount val="1"/>
                <c:pt idx="0">
                  <c:v>Rwanda/Tanzania</c:v>
                </c:pt>
              </c:strCache>
            </c:strRef>
          </c:tx>
          <c:spPr>
            <a:ln w="25400" cap="rnd">
              <a:noFill/>
              <a:round/>
            </a:ln>
            <a:effectLst/>
          </c:spPr>
          <c:marker>
            <c:symbol val="circle"/>
            <c:size val="5"/>
            <c:spPr>
              <a:solidFill>
                <a:schemeClr val="accent1"/>
              </a:solidFill>
              <a:ln w="9525">
                <a:noFill/>
              </a:ln>
              <a:effectLst/>
            </c:spPr>
          </c:marker>
          <c:dLbls>
            <c:dLbl>
              <c:idx val="0"/>
              <c:layout>
                <c:manualLayout>
                  <c:x val="-4.2568651410251956E-17"/>
                  <c:y val="-1.395971029753968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B5E4-4E47-B189-C0F138B81BFB}"/>
                </c:ext>
              </c:extLst>
            </c:dLbl>
            <c:dLbl>
              <c:idx val="2"/>
              <c:layout>
                <c:manualLayout>
                  <c:x val="-1.1609766318257884E-2"/>
                  <c:y val="3.489927574384921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TCO'!$N$7:$P$7</c:f>
              <c:numCache>
                <c:formatCode>0%</c:formatCode>
                <c:ptCount val="3"/>
                <c:pt idx="0">
                  <c:v>0.14362702331608249</c:v>
                </c:pt>
                <c:pt idx="1">
                  <c:v>0.11542127196347196</c:v>
                </c:pt>
                <c:pt idx="2">
                  <c:v>0.74095170472044558</c:v>
                </c:pt>
              </c:numCache>
            </c:numRef>
          </c:yVal>
          <c:smooth val="0"/>
          <c:extLst>
            <c:ext xmlns:c16="http://schemas.microsoft.com/office/drawing/2014/chart" uri="{C3380CC4-5D6E-409C-BE32-E72D297353CC}">
              <c16:uniqueId val="{00000009-B5E4-4E47-B189-C0F138B81BFB}"/>
            </c:ext>
          </c:extLst>
        </c:ser>
        <c:ser>
          <c:idx val="5"/>
          <c:order val="5"/>
          <c:tx>
            <c:strRef>
              <c:f>'Variance by % of TCO'!$M$8</c:f>
              <c:strCache>
                <c:ptCount val="1"/>
                <c:pt idx="0">
                  <c:v>Kenya</c:v>
                </c:pt>
              </c:strCache>
            </c:strRef>
          </c:tx>
          <c:spPr>
            <a:ln w="25400" cap="rnd">
              <a:noFill/>
              <a:round/>
            </a:ln>
            <a:effectLst/>
          </c:spPr>
          <c:marker>
            <c:symbol val="circle"/>
            <c:size val="5"/>
            <c:spPr>
              <a:solidFill>
                <a:schemeClr val="accent1"/>
              </a:solidFill>
              <a:ln w="9525">
                <a:noFill/>
              </a:ln>
              <a:effectLst/>
            </c:spPr>
          </c:marker>
          <c:dLbls>
            <c:dLbl>
              <c:idx val="0"/>
              <c:layout>
                <c:manualLayout>
                  <c:x val="-4.2600179792620347E-17"/>
                  <c:y val="1.408074754356092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B5E4-4E47-B189-C0F138B81BFB}"/>
                </c:ext>
              </c:extLst>
            </c:dLbl>
            <c:dLbl>
              <c:idx val="1"/>
              <c:layout>
                <c:manualLayout>
                  <c:x val="1.1609766318257799E-2"/>
                  <c:y val="-3.4899275743850489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TCO'!$N$8:$P$8</c:f>
              <c:numCache>
                <c:formatCode>0%</c:formatCode>
                <c:ptCount val="3"/>
                <c:pt idx="0">
                  <c:v>0.11564171122994653</c:v>
                </c:pt>
                <c:pt idx="1">
                  <c:v>6.0828877005347594E-2</c:v>
                </c:pt>
                <c:pt idx="2">
                  <c:v>0.82352941176470584</c:v>
                </c:pt>
              </c:numCache>
            </c:numRef>
          </c:yVal>
          <c:smooth val="0"/>
          <c:extLst>
            <c:ext xmlns:c16="http://schemas.microsoft.com/office/drawing/2014/chart" uri="{C3380CC4-5D6E-409C-BE32-E72D297353CC}">
              <c16:uniqueId val="{0000000A-B5E4-4E47-B189-C0F138B81BFB}"/>
            </c:ext>
          </c:extLst>
        </c:ser>
        <c:ser>
          <c:idx val="6"/>
          <c:order val="6"/>
          <c:tx>
            <c:strRef>
              <c:f>'Variance by % of TCO'!$M$9</c:f>
              <c:strCache>
                <c:ptCount val="1"/>
                <c:pt idx="0">
                  <c:v>LMIC (general)</c:v>
                </c:pt>
              </c:strCache>
            </c:strRef>
          </c:tx>
          <c:spPr>
            <a:ln w="25400" cap="rnd">
              <a:noFill/>
              <a:round/>
            </a:ln>
            <a:effectLst/>
          </c:spPr>
          <c:marker>
            <c:symbol val="circle"/>
            <c:size val="5"/>
            <c:spPr>
              <a:solidFill>
                <a:schemeClr val="accent1"/>
              </a:solidFill>
              <a:ln w="9525">
                <a:noFill/>
              </a:ln>
              <a:effectLst/>
            </c:spPr>
          </c:marker>
          <c:dLbls>
            <c:dLbl>
              <c:idx val="0"/>
              <c:layout>
                <c:manualLayout>
                  <c:x val="3.4870618753008668E-2"/>
                  <c:y val="1.754032102936912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'Variance by % of TCO'!$N$2:$P$2</c:f>
              <c:strCache>
                <c:ptCount val="3"/>
                <c:pt idx="0">
                  <c:v>Development Cost</c:v>
                </c:pt>
                <c:pt idx="1">
                  <c:v>Deployment Cost</c:v>
                </c:pt>
                <c:pt idx="2">
                  <c:v>Operations Cost</c:v>
                </c:pt>
              </c:strCache>
            </c:strRef>
          </c:xVal>
          <c:yVal>
            <c:numRef>
              <c:f>'Variance by % of TCO'!$N$9:$P$9</c:f>
              <c:numCache>
                <c:formatCode>0%</c:formatCode>
                <c:ptCount val="3"/>
                <c:pt idx="0">
                  <c:v>0.14772727272727273</c:v>
                </c:pt>
                <c:pt idx="1">
                  <c:v>0.45454545454545453</c:v>
                </c:pt>
                <c:pt idx="2">
                  <c:v>0.39772727272727271</c:v>
                </c:pt>
              </c:numCache>
            </c:numRef>
          </c:yVal>
          <c:smooth val="0"/>
          <c:extLst>
            <c:ext xmlns:c16="http://schemas.microsoft.com/office/drawing/2014/chart" uri="{C3380CC4-5D6E-409C-BE32-E72D297353CC}">
              <c16:uniqueId val="{0000000B-B5E4-4E47-B189-C0F138B81BFB}"/>
            </c:ext>
          </c:extLst>
        </c:ser>
        <c:dLbls>
          <c:showLegendKey val="0"/>
          <c:showVal val="0"/>
          <c:showCatName val="0"/>
          <c:showSerName val="0"/>
          <c:showPercent val="0"/>
          <c:showBubbleSize val="0"/>
        </c:dLbls>
        <c:axId val="2097188240"/>
        <c:axId val="2097182416"/>
      </c:scatterChart>
      <c:valAx>
        <c:axId val="2097188240"/>
        <c:scaling>
          <c:orientation val="minMax"/>
          <c:max val="3.5"/>
          <c:min val="0"/>
        </c:scaling>
        <c:delete val="1"/>
        <c:axPos val="b"/>
        <c:majorGridlines>
          <c:spPr>
            <a:ln w="9525" cap="flat" cmpd="sng" algn="ctr">
              <a:solidFill>
                <a:schemeClr val="tx1">
                  <a:lumMod val="15000"/>
                  <a:lumOff val="85000"/>
                </a:schemeClr>
              </a:solidFill>
              <a:round/>
            </a:ln>
            <a:effectLst/>
          </c:spPr>
        </c:majorGridlines>
        <c:majorTickMark val="none"/>
        <c:minorTickMark val="none"/>
        <c:tickLblPos val="nextTo"/>
        <c:crossAx val="2097182416"/>
        <c:crosses val="autoZero"/>
        <c:crossBetween val="midCat"/>
        <c:majorUnit val="1"/>
      </c:valAx>
      <c:valAx>
        <c:axId val="2097182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71882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data id="1">
      <cx:strDim type="cat">
        <cx:f>_xlchart.v1.0</cx:f>
      </cx:strDim>
      <cx:numDim type="val">
        <cx:f>_xlchart.v1.4</cx:f>
      </cx:numDim>
    </cx:data>
    <cx:data id="2">
      <cx:strDim type="cat">
        <cx:f>_xlchart.v1.0</cx:f>
      </cx:strDim>
      <cx:numDim type="val">
        <cx:f>_xlchart.v1.6</cx:f>
      </cx:numDim>
    </cx:data>
  </cx:chartData>
  <cx:chart>
    <cx:title pos="t" align="ctr" overlay="0">
      <cx:tx>
        <cx:txData>
          <cx:v>Variance by % of TCO</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Variance by % of TCO</a:t>
          </a:r>
        </a:p>
      </cx:txPr>
    </cx:title>
    <cx:plotArea>
      <cx:plotAreaRegion>
        <cx:series layoutId="boxWhisker" uniqueId="{3381D4E4-44C6-492D-9BFB-EA1F9005AC45}">
          <cx:tx>
            <cx:txData>
              <cx:f>_xlchart.v1.1</cx:f>
              <cx:v>Development</cx:v>
            </cx:txData>
          </cx:tx>
          <cx:dataId val="0"/>
          <cx:layoutPr>
            <cx:visibility meanLine="0" meanMarker="1" nonoutliers="0" outliers="1"/>
            <cx:statistics quartileMethod="exclusive"/>
          </cx:layoutPr>
        </cx:series>
        <cx:series layoutId="boxWhisker" uniqueId="{F93D1241-91A4-4CDB-BE8F-792CF7E36911}">
          <cx:tx>
            <cx:txData>
              <cx:f>_xlchart.v1.3</cx:f>
              <cx:v>Deployment</cx:v>
            </cx:txData>
          </cx:tx>
          <cx:dataId val="1"/>
          <cx:layoutPr>
            <cx:visibility meanLine="0" meanMarker="1" nonoutliers="0" outliers="1"/>
            <cx:statistics quartileMethod="exclusive"/>
          </cx:layoutPr>
        </cx:series>
        <cx:series layoutId="boxWhisker" uniqueId="{31B6DA84-05D2-45E3-9741-801A4D8A15D1}">
          <cx:tx>
            <cx:txData>
              <cx:f>_xlchart.v1.5</cx:f>
              <cx:v>Operations </cx:v>
            </cx:txData>
          </cx:tx>
          <cx:dataId val="2"/>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who.int/publications/i/item/9789240010567" TargetMode="External"/><Relationship Id="rId4" Type="http://schemas.openxmlformats.org/officeDocument/2006/relationships/hyperlink" Target="#'Input - Development Costs'!A1"/></Relationships>
</file>

<file path=xl/drawings/_rels/drawing11.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Input - Deployment Costs'!A1"/><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6" Type="http://schemas.openxmlformats.org/officeDocument/2006/relationships/hyperlink" Target="#'Notes - Deployment Costs'!A1"/><Relationship Id="rId5" Type="http://schemas.openxmlformats.org/officeDocument/2006/relationships/hyperlink" Target="#'User Guide'!A1"/><Relationship Id="rId4" Type="http://schemas.openxmlformats.org/officeDocument/2006/relationships/hyperlink" Target="http://sil-asia.org/costing-tool/" TargetMode="External"/></Relationships>
</file>

<file path=xl/drawings/_rels/drawing12.xml.rels><?xml version="1.0" encoding="UTF-8" standalone="yes"?>
<Relationships xmlns="http://schemas.openxmlformats.org/package/2006/relationships"><Relationship Id="rId3"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who.int/publications/i/item/9789240010567" TargetMode="External"/><Relationship Id="rId5" Type="http://schemas.openxmlformats.org/officeDocument/2006/relationships/hyperlink" Target="#'Labor tab Example '!L8"/><Relationship Id="rId4" Type="http://schemas.openxmlformats.org/officeDocument/2006/relationships/hyperlink" Target="https://icsc.un.org/Home/GetDataFile/6737" TargetMode="External"/></Relationships>
</file>

<file path=xl/drawings/_rels/drawing1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who.int/publications/i/item/9789240010567"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4" Type="http://schemas.openxmlformats.org/officeDocument/2006/relationships/hyperlink" Target="http://sil-asia.org/costing-tool/"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4" Type="http://schemas.openxmlformats.org/officeDocument/2006/relationships/hyperlink" Target="https://www.dimagi.com/toolkits/total-cost-ownership/" TargetMode="External"/></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5" Type="http://schemas.openxmlformats.org/officeDocument/2006/relationships/hyperlink" Target="#'Input - Operations Costs'!A1"/><Relationship Id="rId4" Type="http://schemas.openxmlformats.org/officeDocument/2006/relationships/hyperlink" Target="https://www.dimagi.com/toolkits/total-cost-ownership/"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Input - Scope of Implementation'!A1"/></Relationships>
</file>

<file path=xl/drawings/drawing1.xml><?xml version="1.0" encoding="utf-8"?>
<xdr:wsDr xmlns:xdr="http://schemas.openxmlformats.org/drawingml/2006/spreadsheetDrawing" xmlns:a="http://schemas.openxmlformats.org/drawingml/2006/main">
  <xdr:oneCellAnchor>
    <xdr:from>
      <xdr:col>8</xdr:col>
      <xdr:colOff>5715</xdr:colOff>
      <xdr:row>5</xdr:row>
      <xdr:rowOff>7677</xdr:rowOff>
    </xdr:from>
    <xdr:ext cx="2369495" cy="2250356"/>
    <xdr:pic>
      <xdr:nvPicPr>
        <xdr:cNvPr id="2" name="Picture 1" descr="Digital Square">
          <a:extLst>
            <a:ext uri="{FF2B5EF4-FFF2-40B4-BE49-F238E27FC236}">
              <a16:creationId xmlns:a16="http://schemas.microsoft.com/office/drawing/2014/main" id="{0383A30B-BC06-4345-A3FE-AFC74D7D56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0515" y="960177"/>
          <a:ext cx="2369495" cy="22503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31528</xdr:colOff>
      <xdr:row>19</xdr:row>
      <xdr:rowOff>467</xdr:rowOff>
    </xdr:from>
    <xdr:ext cx="3345538" cy="551230"/>
    <xdr:pic>
      <xdr:nvPicPr>
        <xdr:cNvPr id="3" name="Picture 2">
          <a:extLst>
            <a:ext uri="{FF2B5EF4-FFF2-40B4-BE49-F238E27FC236}">
              <a16:creationId xmlns:a16="http://schemas.microsoft.com/office/drawing/2014/main" id="{5A887B8F-0BC6-984D-AFFB-50460F1146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38116" y="4079408"/>
          <a:ext cx="3345538" cy="5512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absolute">
    <xdr:from>
      <xdr:col>11</xdr:col>
      <xdr:colOff>734773</xdr:colOff>
      <xdr:row>0</xdr:row>
      <xdr:rowOff>9077</xdr:rowOff>
    </xdr:from>
    <xdr:to>
      <xdr:col>14</xdr:col>
      <xdr:colOff>21124</xdr:colOff>
      <xdr:row>2</xdr:row>
      <xdr:rowOff>72571</xdr:rowOff>
    </xdr:to>
    <xdr:pic>
      <xdr:nvPicPr>
        <xdr:cNvPr id="6" name="Picture 5" descr="Digital Square">
          <a:extLst>
            <a:ext uri="{FF2B5EF4-FFF2-40B4-BE49-F238E27FC236}">
              <a16:creationId xmlns:a16="http://schemas.microsoft.com/office/drawing/2014/main" id="{D0F8D4DF-E957-4D0E-94AD-472B57D9C4C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579" b="73684"/>
        <a:stretch/>
      </xdr:blipFill>
      <xdr:spPr bwMode="auto">
        <a:xfrm>
          <a:off x="6794487" y="9077"/>
          <a:ext cx="746851" cy="634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10</xdr:row>
      <xdr:rowOff>447675</xdr:rowOff>
    </xdr:from>
    <xdr:to>
      <xdr:col>4</xdr:col>
      <xdr:colOff>2828925</xdr:colOff>
      <xdr:row>10</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15B1731-C140-0043-8AF9-C10387D085E6}"/>
            </a:ext>
          </a:extLst>
        </xdr:cNvPr>
        <xdr:cNvSpPr/>
      </xdr:nvSpPr>
      <xdr:spPr>
        <a:xfrm>
          <a:off x="15557500" y="9731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28574</xdr:colOff>
      <xdr:row>10</xdr:row>
      <xdr:rowOff>628650</xdr:rowOff>
    </xdr:from>
    <xdr:to>
      <xdr:col>4</xdr:col>
      <xdr:colOff>2838449</xdr:colOff>
      <xdr:row>10</xdr:row>
      <xdr:rowOff>971550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3E8FEDA-3DE3-604A-A88E-53B227656BD2}"/>
            </a:ext>
          </a:extLst>
        </xdr:cNvPr>
        <xdr:cNvSpPr/>
      </xdr:nvSpPr>
      <xdr:spPr>
        <a:xfrm>
          <a:off x="15586074" y="9721850"/>
          <a:ext cx="2809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10</xdr:row>
      <xdr:rowOff>971550</xdr:rowOff>
    </xdr:from>
    <xdr:to>
      <xdr:col>4</xdr:col>
      <xdr:colOff>2952750</xdr:colOff>
      <xdr:row>11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A7B3467-A7D8-2E4F-BF8E-7C0FAF161957}"/>
            </a:ext>
          </a:extLst>
        </xdr:cNvPr>
        <xdr:cNvSpPr/>
      </xdr:nvSpPr>
      <xdr:spPr>
        <a:xfrm>
          <a:off x="15586075" y="9721850"/>
          <a:ext cx="29241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11</xdr:row>
      <xdr:rowOff>447675</xdr:rowOff>
    </xdr:from>
    <xdr:to>
      <xdr:col>4</xdr:col>
      <xdr:colOff>2828925</xdr:colOff>
      <xdr:row>11</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B5634FF3-29DA-8645-B99F-92190A45602C}"/>
            </a:ext>
          </a:extLst>
        </xdr:cNvPr>
        <xdr:cNvSpPr/>
      </xdr:nvSpPr>
      <xdr:spPr>
        <a:xfrm>
          <a:off x="15557500" y="9921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28574</xdr:colOff>
      <xdr:row>11</xdr:row>
      <xdr:rowOff>628650</xdr:rowOff>
    </xdr:from>
    <xdr:to>
      <xdr:col>4</xdr:col>
      <xdr:colOff>2838449</xdr:colOff>
      <xdr:row>11</xdr:row>
      <xdr:rowOff>971550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EC94F207-4020-C746-866A-12781FD95D97}"/>
            </a:ext>
          </a:extLst>
        </xdr:cNvPr>
        <xdr:cNvSpPr/>
      </xdr:nvSpPr>
      <xdr:spPr>
        <a:xfrm>
          <a:off x="15586074" y="9912350"/>
          <a:ext cx="2809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11</xdr:row>
      <xdr:rowOff>971550</xdr:rowOff>
    </xdr:from>
    <xdr:to>
      <xdr:col>4</xdr:col>
      <xdr:colOff>2952750</xdr:colOff>
      <xdr:row>12</xdr:row>
      <xdr:rowOff>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7C173265-070A-D543-9EF6-FAA43011E552}"/>
            </a:ext>
          </a:extLst>
        </xdr:cNvPr>
        <xdr:cNvSpPr/>
      </xdr:nvSpPr>
      <xdr:spPr>
        <a:xfrm>
          <a:off x="15586075" y="9912350"/>
          <a:ext cx="29241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11</xdr:row>
      <xdr:rowOff>387350</xdr:rowOff>
    </xdr:from>
    <xdr:to>
      <xdr:col>4</xdr:col>
      <xdr:colOff>2901950</xdr:colOff>
      <xdr:row>12</xdr:row>
      <xdr:rowOff>15875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80C63FD8-C2AC-324D-A8DF-F8B169722879}"/>
            </a:ext>
          </a:extLst>
        </xdr:cNvPr>
        <xdr:cNvSpPr/>
      </xdr:nvSpPr>
      <xdr:spPr>
        <a:xfrm>
          <a:off x="15567025" y="9912350"/>
          <a:ext cx="2892425" cy="22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11</xdr:row>
      <xdr:rowOff>38099</xdr:rowOff>
    </xdr:from>
    <xdr:to>
      <xdr:col>4</xdr:col>
      <xdr:colOff>2952750</xdr:colOff>
      <xdr:row>11</xdr:row>
      <xdr:rowOff>393699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39BEE6BA-454C-5C41-9E10-6E1E034A34E7}"/>
            </a:ext>
          </a:extLst>
        </xdr:cNvPr>
        <xdr:cNvSpPr/>
      </xdr:nvSpPr>
      <xdr:spPr>
        <a:xfrm>
          <a:off x="15586075" y="9766299"/>
          <a:ext cx="29241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6350</xdr:colOff>
      <xdr:row>15</xdr:row>
      <xdr:rowOff>1473201</xdr:rowOff>
    </xdr:from>
    <xdr:to>
      <xdr:col>4</xdr:col>
      <xdr:colOff>2905125</xdr:colOff>
      <xdr:row>16</xdr:row>
      <xdr:rowOff>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9440491C-4544-9D4C-B246-20439018F8A3}"/>
            </a:ext>
          </a:extLst>
        </xdr:cNvPr>
        <xdr:cNvSpPr/>
      </xdr:nvSpPr>
      <xdr:spPr>
        <a:xfrm>
          <a:off x="15563850" y="10871201"/>
          <a:ext cx="28987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15</xdr:row>
      <xdr:rowOff>1108074</xdr:rowOff>
    </xdr:from>
    <xdr:to>
      <xdr:col>4</xdr:col>
      <xdr:colOff>2911475</xdr:colOff>
      <xdr:row>15</xdr:row>
      <xdr:rowOff>1457324</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9AAA3693-F1B9-E54F-953C-E969C3A0B77C}"/>
            </a:ext>
          </a:extLst>
        </xdr:cNvPr>
        <xdr:cNvSpPr/>
      </xdr:nvSpPr>
      <xdr:spPr>
        <a:xfrm>
          <a:off x="15392400" y="10874374"/>
          <a:ext cx="3076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14</xdr:row>
      <xdr:rowOff>447675</xdr:rowOff>
    </xdr:from>
    <xdr:to>
      <xdr:col>4</xdr:col>
      <xdr:colOff>2828925</xdr:colOff>
      <xdr:row>14</xdr:row>
      <xdr:rowOff>600075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F1460869-1157-FB42-AB09-362C568E2D9E}"/>
            </a:ext>
          </a:extLst>
        </xdr:cNvPr>
        <xdr:cNvSpPr/>
      </xdr:nvSpPr>
      <xdr:spPr>
        <a:xfrm>
          <a:off x="15557500" y="10493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14</xdr:row>
      <xdr:rowOff>387351</xdr:rowOff>
    </xdr:from>
    <xdr:to>
      <xdr:col>4</xdr:col>
      <xdr:colOff>2901950</xdr:colOff>
      <xdr:row>14</xdr:row>
      <xdr:rowOff>723901</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5F103D4B-0E0F-5540-95A0-1AA98EBDAE43}"/>
            </a:ext>
          </a:extLst>
        </xdr:cNvPr>
        <xdr:cNvSpPr/>
      </xdr:nvSpPr>
      <xdr:spPr>
        <a:xfrm>
          <a:off x="15567025" y="10483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14</xdr:row>
      <xdr:rowOff>380999</xdr:rowOff>
    </xdr:from>
    <xdr:to>
      <xdr:col>4</xdr:col>
      <xdr:colOff>2933700</xdr:colOff>
      <xdr:row>14</xdr:row>
      <xdr:rowOff>736599</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BE31435F-A800-EA47-92BC-30DF1E4DB8B6}"/>
            </a:ext>
          </a:extLst>
        </xdr:cNvPr>
        <xdr:cNvSpPr/>
      </xdr:nvSpPr>
      <xdr:spPr>
        <a:xfrm>
          <a:off x="15567025" y="10490199"/>
          <a:ext cx="2924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14</xdr:row>
      <xdr:rowOff>749300</xdr:rowOff>
    </xdr:from>
    <xdr:to>
      <xdr:col>4</xdr:col>
      <xdr:colOff>2911475</xdr:colOff>
      <xdr:row>15</xdr:row>
      <xdr:rowOff>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E2C14DA0-B20E-2B4F-94CF-B8EDB153BA93}"/>
            </a:ext>
          </a:extLst>
        </xdr:cNvPr>
        <xdr:cNvSpPr/>
      </xdr:nvSpPr>
      <xdr:spPr>
        <a:xfrm>
          <a:off x="15576550" y="10490200"/>
          <a:ext cx="28924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20</xdr:row>
      <xdr:rowOff>234950</xdr:rowOff>
    </xdr:from>
    <xdr:to>
      <xdr:col>4</xdr:col>
      <xdr:colOff>2828925</xdr:colOff>
      <xdr:row>20</xdr:row>
      <xdr:rowOff>387350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8DF0398E-1E9F-2D48-96B3-395C70079AE5}"/>
            </a:ext>
          </a:extLst>
        </xdr:cNvPr>
        <xdr:cNvSpPr/>
      </xdr:nvSpPr>
      <xdr:spPr>
        <a:xfrm>
          <a:off x="15557500" y="12007850"/>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xdr:colOff>
      <xdr:row>20</xdr:row>
      <xdr:rowOff>415925</xdr:rowOff>
    </xdr:from>
    <xdr:to>
      <xdr:col>4</xdr:col>
      <xdr:colOff>2813049</xdr:colOff>
      <xdr:row>20</xdr:row>
      <xdr:rowOff>714375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4FC2047D-7C5C-2242-BE06-E94E875258F9}"/>
            </a:ext>
          </a:extLst>
        </xdr:cNvPr>
        <xdr:cNvSpPr/>
      </xdr:nvSpPr>
      <xdr:spPr>
        <a:xfrm>
          <a:off x="15560674" y="12011025"/>
          <a:ext cx="28098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20</xdr:row>
      <xdr:rowOff>752475</xdr:rowOff>
    </xdr:from>
    <xdr:to>
      <xdr:col>4</xdr:col>
      <xdr:colOff>2952750</xdr:colOff>
      <xdr:row>21</xdr:row>
      <xdr:rowOff>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F35CAA2E-9FF0-474F-9EB0-235159781DE2}"/>
            </a:ext>
          </a:extLst>
        </xdr:cNvPr>
        <xdr:cNvSpPr/>
      </xdr:nvSpPr>
      <xdr:spPr>
        <a:xfrm flipV="1">
          <a:off x="15586075" y="12017375"/>
          <a:ext cx="2924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447675</xdr:rowOff>
    </xdr:from>
    <xdr:to>
      <xdr:col>4</xdr:col>
      <xdr:colOff>2828925</xdr:colOff>
      <xdr:row>21</xdr:row>
      <xdr:rowOff>600075</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AD89DF2B-5538-C747-BD80-CF46F9ABE82B}"/>
            </a:ext>
          </a:extLst>
        </xdr:cNvPr>
        <xdr:cNvSpPr/>
      </xdr:nvSpPr>
      <xdr:spPr>
        <a:xfrm>
          <a:off x="15557500" y="12207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21</xdr:row>
      <xdr:rowOff>387351</xdr:rowOff>
    </xdr:from>
    <xdr:to>
      <xdr:col>4</xdr:col>
      <xdr:colOff>2901950</xdr:colOff>
      <xdr:row>21</xdr:row>
      <xdr:rowOff>723901</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8BA0BF2E-E615-8E49-B1B2-726FAFE1E240}"/>
            </a:ext>
          </a:extLst>
        </xdr:cNvPr>
        <xdr:cNvSpPr/>
      </xdr:nvSpPr>
      <xdr:spPr>
        <a:xfrm>
          <a:off x="15567025" y="121983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12698</xdr:rowOff>
    </xdr:from>
    <xdr:to>
      <xdr:col>4</xdr:col>
      <xdr:colOff>2914650</xdr:colOff>
      <xdr:row>21</xdr:row>
      <xdr:rowOff>380999</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C72A4A9F-A9E3-7444-8D81-143E3D760767}"/>
            </a:ext>
          </a:extLst>
        </xdr:cNvPr>
        <xdr:cNvSpPr/>
      </xdr:nvSpPr>
      <xdr:spPr>
        <a:xfrm>
          <a:off x="15389225" y="120268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21</xdr:row>
      <xdr:rowOff>749300</xdr:rowOff>
    </xdr:from>
    <xdr:to>
      <xdr:col>4</xdr:col>
      <xdr:colOff>2911475</xdr:colOff>
      <xdr:row>22</xdr:row>
      <xdr:rowOff>25400</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CD4AC744-C1E9-F64B-8C52-D389C98CA766}"/>
            </a:ext>
          </a:extLst>
        </xdr:cNvPr>
        <xdr:cNvSpPr/>
      </xdr:nvSpPr>
      <xdr:spPr>
        <a:xfrm>
          <a:off x="15576550" y="12204700"/>
          <a:ext cx="28924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28</xdr:row>
      <xdr:rowOff>234950</xdr:rowOff>
    </xdr:from>
    <xdr:to>
      <xdr:col>4</xdr:col>
      <xdr:colOff>2828925</xdr:colOff>
      <xdr:row>28</xdr:row>
      <xdr:rowOff>387350</xdr:rowOff>
    </xdr:to>
    <xdr:sp macro="" textlink="">
      <xdr:nvSpPr>
        <xdr:cNvPr id="23" name="Rectangle 22">
          <a:hlinkClick xmlns:r="http://schemas.openxmlformats.org/officeDocument/2006/relationships" r:id="rId1"/>
          <a:extLst>
            <a:ext uri="{FF2B5EF4-FFF2-40B4-BE49-F238E27FC236}">
              <a16:creationId xmlns:a16="http://schemas.microsoft.com/office/drawing/2014/main" id="{B7A090D5-A8BA-7545-9EFF-4AD5FC9B67ED}"/>
            </a:ext>
          </a:extLst>
        </xdr:cNvPr>
        <xdr:cNvSpPr/>
      </xdr:nvSpPr>
      <xdr:spPr>
        <a:xfrm>
          <a:off x="15557500" y="13531850"/>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xdr:colOff>
      <xdr:row>28</xdr:row>
      <xdr:rowOff>415925</xdr:rowOff>
    </xdr:from>
    <xdr:to>
      <xdr:col>4</xdr:col>
      <xdr:colOff>2813049</xdr:colOff>
      <xdr:row>28</xdr:row>
      <xdr:rowOff>714375</xdr:rowOff>
    </xdr:to>
    <xdr:sp macro="" textlink="">
      <xdr:nvSpPr>
        <xdr:cNvPr id="24" name="Rectangle 23">
          <a:hlinkClick xmlns:r="http://schemas.openxmlformats.org/officeDocument/2006/relationships" r:id="rId2"/>
          <a:extLst>
            <a:ext uri="{FF2B5EF4-FFF2-40B4-BE49-F238E27FC236}">
              <a16:creationId xmlns:a16="http://schemas.microsoft.com/office/drawing/2014/main" id="{09A7350B-642A-9049-8D5D-4D91E1D88669}"/>
            </a:ext>
          </a:extLst>
        </xdr:cNvPr>
        <xdr:cNvSpPr/>
      </xdr:nvSpPr>
      <xdr:spPr>
        <a:xfrm>
          <a:off x="15560674" y="13535025"/>
          <a:ext cx="28098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28</xdr:row>
      <xdr:rowOff>752475</xdr:rowOff>
    </xdr:from>
    <xdr:to>
      <xdr:col>4</xdr:col>
      <xdr:colOff>2952750</xdr:colOff>
      <xdr:row>29</xdr:row>
      <xdr:rowOff>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1AA341A6-5C8B-5D48-82B3-77801875D818}"/>
            </a:ext>
          </a:extLst>
        </xdr:cNvPr>
        <xdr:cNvSpPr/>
      </xdr:nvSpPr>
      <xdr:spPr>
        <a:xfrm flipV="1">
          <a:off x="15586075" y="13541375"/>
          <a:ext cx="2924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29</xdr:row>
      <xdr:rowOff>447675</xdr:rowOff>
    </xdr:from>
    <xdr:to>
      <xdr:col>4</xdr:col>
      <xdr:colOff>2828925</xdr:colOff>
      <xdr:row>29</xdr:row>
      <xdr:rowOff>600075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F875BC66-A57E-874D-9FE3-9734F38E011C}"/>
            </a:ext>
          </a:extLst>
        </xdr:cNvPr>
        <xdr:cNvSpPr/>
      </xdr:nvSpPr>
      <xdr:spPr>
        <a:xfrm>
          <a:off x="15557500" y="13731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29</xdr:row>
      <xdr:rowOff>387351</xdr:rowOff>
    </xdr:from>
    <xdr:to>
      <xdr:col>4</xdr:col>
      <xdr:colOff>2901950</xdr:colOff>
      <xdr:row>29</xdr:row>
      <xdr:rowOff>723901</xdr:rowOff>
    </xdr:to>
    <xdr:sp macro="" textlink="">
      <xdr:nvSpPr>
        <xdr:cNvPr id="27" name="Rectangle 26">
          <a:hlinkClick xmlns:r="http://schemas.openxmlformats.org/officeDocument/2006/relationships" r:id="rId3"/>
          <a:extLst>
            <a:ext uri="{FF2B5EF4-FFF2-40B4-BE49-F238E27FC236}">
              <a16:creationId xmlns:a16="http://schemas.microsoft.com/office/drawing/2014/main" id="{6CFA50CC-9220-1143-91D8-994783CDE1FB}"/>
            </a:ext>
          </a:extLst>
        </xdr:cNvPr>
        <xdr:cNvSpPr/>
      </xdr:nvSpPr>
      <xdr:spPr>
        <a:xfrm>
          <a:off x="15567025" y="137223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29</xdr:row>
      <xdr:rowOff>12698</xdr:rowOff>
    </xdr:from>
    <xdr:to>
      <xdr:col>4</xdr:col>
      <xdr:colOff>2914650</xdr:colOff>
      <xdr:row>29</xdr:row>
      <xdr:rowOff>380999</xdr:rowOff>
    </xdr:to>
    <xdr:sp macro="" textlink="">
      <xdr:nvSpPr>
        <xdr:cNvPr id="28" name="Rectangle 27">
          <a:hlinkClick xmlns:r="http://schemas.openxmlformats.org/officeDocument/2006/relationships" r:id="rId2"/>
          <a:extLst>
            <a:ext uri="{FF2B5EF4-FFF2-40B4-BE49-F238E27FC236}">
              <a16:creationId xmlns:a16="http://schemas.microsoft.com/office/drawing/2014/main" id="{CB945843-3127-6E47-9FAA-2B4F56933AD1}"/>
            </a:ext>
          </a:extLst>
        </xdr:cNvPr>
        <xdr:cNvSpPr/>
      </xdr:nvSpPr>
      <xdr:spPr>
        <a:xfrm>
          <a:off x="15389225" y="135508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xdr:row>
      <xdr:rowOff>12700</xdr:rowOff>
    </xdr:from>
    <xdr:to>
      <xdr:col>0</xdr:col>
      <xdr:colOff>2781300</xdr:colOff>
      <xdr:row>3</xdr:row>
      <xdr:rowOff>165100</xdr:rowOff>
    </xdr:to>
    <xdr:sp macro="" textlink="">
      <xdr:nvSpPr>
        <xdr:cNvPr id="30" name="Rounded Rectangle 29">
          <a:hlinkClick xmlns:r="http://schemas.openxmlformats.org/officeDocument/2006/relationships" r:id="rId4" tooltip="Go to Input sheet"/>
          <a:extLst>
            <a:ext uri="{FF2B5EF4-FFF2-40B4-BE49-F238E27FC236}">
              <a16:creationId xmlns:a16="http://schemas.microsoft.com/office/drawing/2014/main" id="{90DBE70E-1930-394F-B29D-8048D4040363}"/>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10</xdr:row>
      <xdr:rowOff>447675</xdr:rowOff>
    </xdr:from>
    <xdr:to>
      <xdr:col>4</xdr:col>
      <xdr:colOff>2828925</xdr:colOff>
      <xdr:row>10</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6421DD-56C1-0342-A7EE-838891E6EB31}"/>
            </a:ext>
          </a:extLst>
        </xdr:cNvPr>
        <xdr:cNvSpPr/>
      </xdr:nvSpPr>
      <xdr:spPr>
        <a:xfrm>
          <a:off x="8407400" y="38004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10</xdr:row>
      <xdr:rowOff>387351</xdr:rowOff>
    </xdr:from>
    <xdr:to>
      <xdr:col>4</xdr:col>
      <xdr:colOff>2901950</xdr:colOff>
      <xdr:row>10</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0667186-9E92-5E48-BF28-A32772F925DF}"/>
            </a:ext>
          </a:extLst>
        </xdr:cNvPr>
        <xdr:cNvSpPr/>
      </xdr:nvSpPr>
      <xdr:spPr>
        <a:xfrm>
          <a:off x="8407400" y="3740151"/>
          <a:ext cx="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10</xdr:row>
      <xdr:rowOff>12698</xdr:rowOff>
    </xdr:from>
    <xdr:to>
      <xdr:col>4</xdr:col>
      <xdr:colOff>2914650</xdr:colOff>
      <xdr:row>10</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3E3555C-3DEE-994C-BC62-505C48F7741A}"/>
            </a:ext>
          </a:extLst>
        </xdr:cNvPr>
        <xdr:cNvSpPr/>
      </xdr:nvSpPr>
      <xdr:spPr>
        <a:xfrm>
          <a:off x="8407400" y="33654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12</xdr:row>
      <xdr:rowOff>447675</xdr:rowOff>
    </xdr:from>
    <xdr:to>
      <xdr:col>4</xdr:col>
      <xdr:colOff>2828925</xdr:colOff>
      <xdr:row>12</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5052CF19-4454-C54F-ADBD-1D5BE058DD91}"/>
            </a:ext>
          </a:extLst>
        </xdr:cNvPr>
        <xdr:cNvSpPr/>
      </xdr:nvSpPr>
      <xdr:spPr>
        <a:xfrm>
          <a:off x="8407400" y="50196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15875</xdr:colOff>
      <xdr:row>12</xdr:row>
      <xdr:rowOff>38101</xdr:rowOff>
    </xdr:from>
    <xdr:to>
      <xdr:col>4</xdr:col>
      <xdr:colOff>2914650</xdr:colOff>
      <xdr:row>12</xdr:row>
      <xdr:rowOff>200026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3D3EC05-22A9-074F-A1C1-F1C5A5DF8E68}"/>
            </a:ext>
          </a:extLst>
        </xdr:cNvPr>
        <xdr:cNvSpPr/>
      </xdr:nvSpPr>
      <xdr:spPr>
        <a:xfrm>
          <a:off x="8407400" y="4610101"/>
          <a:ext cx="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12</xdr:row>
      <xdr:rowOff>206375</xdr:rowOff>
    </xdr:from>
    <xdr:to>
      <xdr:col>4</xdr:col>
      <xdr:colOff>2914650</xdr:colOff>
      <xdr:row>13</xdr:row>
      <xdr:rowOff>19050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35F2AFE-765B-204F-B69A-64AB601F53CB}"/>
            </a:ext>
          </a:extLst>
        </xdr:cNvPr>
        <xdr:cNvSpPr/>
      </xdr:nvSpPr>
      <xdr:spPr>
        <a:xfrm>
          <a:off x="8407400" y="4778375"/>
          <a:ext cx="0"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32</xdr:row>
      <xdr:rowOff>447675</xdr:rowOff>
    </xdr:from>
    <xdr:to>
      <xdr:col>4</xdr:col>
      <xdr:colOff>2828925</xdr:colOff>
      <xdr:row>32</xdr:row>
      <xdr:rowOff>600075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54D52B55-3A95-0544-A450-0833EB624C61}"/>
            </a:ext>
          </a:extLst>
        </xdr:cNvPr>
        <xdr:cNvSpPr/>
      </xdr:nvSpPr>
      <xdr:spPr>
        <a:xfrm>
          <a:off x="8407400" y="112426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32</xdr:row>
      <xdr:rowOff>387351</xdr:rowOff>
    </xdr:from>
    <xdr:to>
      <xdr:col>4</xdr:col>
      <xdr:colOff>2901950</xdr:colOff>
      <xdr:row>32</xdr:row>
      <xdr:rowOff>723901</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2188CA93-672C-E24E-9525-020CE09BCB72}"/>
            </a:ext>
          </a:extLst>
        </xdr:cNvPr>
        <xdr:cNvSpPr/>
      </xdr:nvSpPr>
      <xdr:spPr>
        <a:xfrm>
          <a:off x="8407400" y="11182351"/>
          <a:ext cx="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32</xdr:row>
      <xdr:rowOff>12698</xdr:rowOff>
    </xdr:from>
    <xdr:to>
      <xdr:col>4</xdr:col>
      <xdr:colOff>2914650</xdr:colOff>
      <xdr:row>32</xdr:row>
      <xdr:rowOff>380999</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45E489B1-D68F-704F-B9BA-CE833A088680}"/>
            </a:ext>
          </a:extLst>
        </xdr:cNvPr>
        <xdr:cNvSpPr/>
      </xdr:nvSpPr>
      <xdr:spPr>
        <a:xfrm>
          <a:off x="8407400" y="108076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447675</xdr:rowOff>
    </xdr:from>
    <xdr:to>
      <xdr:col>4</xdr:col>
      <xdr:colOff>2828925</xdr:colOff>
      <xdr:row>38</xdr:row>
      <xdr:rowOff>600075</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9A704F4-5A47-9D44-A570-EA9DEA96B3BC}"/>
            </a:ext>
          </a:extLst>
        </xdr:cNvPr>
        <xdr:cNvSpPr/>
      </xdr:nvSpPr>
      <xdr:spPr>
        <a:xfrm>
          <a:off x="8407400" y="140747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38</xdr:row>
      <xdr:rowOff>387351</xdr:rowOff>
    </xdr:from>
    <xdr:to>
      <xdr:col>4</xdr:col>
      <xdr:colOff>2901950</xdr:colOff>
      <xdr:row>38</xdr:row>
      <xdr:rowOff>723901</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CAF1A76C-DDE4-2648-BFD3-7CB04BA23A34}"/>
            </a:ext>
          </a:extLst>
        </xdr:cNvPr>
        <xdr:cNvSpPr/>
      </xdr:nvSpPr>
      <xdr:spPr>
        <a:xfrm>
          <a:off x="8407400" y="14014451"/>
          <a:ext cx="0"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12698</xdr:rowOff>
    </xdr:from>
    <xdr:to>
      <xdr:col>4</xdr:col>
      <xdr:colOff>2914650</xdr:colOff>
      <xdr:row>38</xdr:row>
      <xdr:rowOff>380999</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4FA36EF2-D97B-164B-BF9D-1D09B3E969D1}"/>
            </a:ext>
          </a:extLst>
        </xdr:cNvPr>
        <xdr:cNvSpPr/>
      </xdr:nvSpPr>
      <xdr:spPr>
        <a:xfrm>
          <a:off x="8407400" y="136397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50</xdr:row>
      <xdr:rowOff>447675</xdr:rowOff>
    </xdr:from>
    <xdr:to>
      <xdr:col>4</xdr:col>
      <xdr:colOff>2828925</xdr:colOff>
      <xdr:row>50</xdr:row>
      <xdr:rowOff>600075</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19825F3E-08A8-C148-9E2A-74C9072D7D31}"/>
            </a:ext>
          </a:extLst>
        </xdr:cNvPr>
        <xdr:cNvSpPr/>
      </xdr:nvSpPr>
      <xdr:spPr>
        <a:xfrm>
          <a:off x="8407400" y="186975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50</xdr:row>
      <xdr:rowOff>387351</xdr:rowOff>
    </xdr:from>
    <xdr:to>
      <xdr:col>4</xdr:col>
      <xdr:colOff>2901950</xdr:colOff>
      <xdr:row>50</xdr:row>
      <xdr:rowOff>723901</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E85A1A7D-E8F4-6549-956A-DCFF936B16DD}"/>
            </a:ext>
          </a:extLst>
        </xdr:cNvPr>
        <xdr:cNvSpPr/>
      </xdr:nvSpPr>
      <xdr:spPr>
        <a:xfrm>
          <a:off x="8407400" y="18637251"/>
          <a:ext cx="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50</xdr:row>
      <xdr:rowOff>12698</xdr:rowOff>
    </xdr:from>
    <xdr:to>
      <xdr:col>4</xdr:col>
      <xdr:colOff>2914650</xdr:colOff>
      <xdr:row>50</xdr:row>
      <xdr:rowOff>380999</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5CB04359-E87C-A244-9AE5-0710C0DE3C48}"/>
            </a:ext>
          </a:extLst>
        </xdr:cNvPr>
        <xdr:cNvSpPr/>
      </xdr:nvSpPr>
      <xdr:spPr>
        <a:xfrm>
          <a:off x="8407400" y="182625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1</xdr:row>
      <xdr:rowOff>0</xdr:rowOff>
    </xdr:from>
    <xdr:to>
      <xdr:col>2</xdr:col>
      <xdr:colOff>1371600</xdr:colOff>
      <xdr:row>1</xdr:row>
      <xdr:rowOff>419100</xdr:rowOff>
    </xdr:to>
    <xdr:sp macro="" textlink="">
      <xdr:nvSpPr>
        <xdr:cNvPr id="17" name="Rounded Rectangle 16">
          <a:hlinkClick xmlns:r="http://schemas.openxmlformats.org/officeDocument/2006/relationships" r:id="rId5"/>
          <a:extLst>
            <a:ext uri="{FF2B5EF4-FFF2-40B4-BE49-F238E27FC236}">
              <a16:creationId xmlns:a16="http://schemas.microsoft.com/office/drawing/2014/main" id="{D0AEEBCE-63CD-6946-B7ED-C268961881C9}"/>
            </a:ext>
          </a:extLst>
        </xdr:cNvPr>
        <xdr:cNvSpPr/>
      </xdr:nvSpPr>
      <xdr:spPr>
        <a:xfrm>
          <a:off x="5473700" y="317500"/>
          <a:ext cx="2781300" cy="5969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to User Guide</a:t>
          </a:r>
          <a:endParaRPr lang="en-US" sz="1200">
            <a:solidFill>
              <a:schemeClr val="bg1"/>
            </a:solidFill>
          </a:endParaRPr>
        </a:p>
      </xdr:txBody>
    </xdr:sp>
    <xdr:clientData/>
  </xdr:twoCellAnchor>
  <xdr:twoCellAnchor>
    <xdr:from>
      <xdr:col>1</xdr:col>
      <xdr:colOff>114300</xdr:colOff>
      <xdr:row>1</xdr:row>
      <xdr:rowOff>469900</xdr:rowOff>
    </xdr:from>
    <xdr:to>
      <xdr:col>2</xdr:col>
      <xdr:colOff>1371600</xdr:colOff>
      <xdr:row>5</xdr:row>
      <xdr:rowOff>0</xdr:rowOff>
    </xdr:to>
    <xdr:sp macro="" textlink="">
      <xdr:nvSpPr>
        <xdr:cNvPr id="18" name="Rounded Rectangle 17">
          <a:hlinkClick xmlns:r="http://schemas.openxmlformats.org/officeDocument/2006/relationships" r:id="rId6"/>
          <a:extLst>
            <a:ext uri="{FF2B5EF4-FFF2-40B4-BE49-F238E27FC236}">
              <a16:creationId xmlns:a16="http://schemas.microsoft.com/office/drawing/2014/main" id="{6E3E462E-63B4-344E-82CD-6B27C0D9CDCA}"/>
            </a:ext>
          </a:extLst>
        </xdr:cNvPr>
        <xdr:cNvSpPr/>
      </xdr:nvSpPr>
      <xdr:spPr>
        <a:xfrm>
          <a:off x="5473700" y="965200"/>
          <a:ext cx="2781300" cy="5969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to Notes</a:t>
          </a:r>
          <a:endParaRPr lang="en-US" sz="1200">
            <a:solidFill>
              <a:schemeClr val="bg1"/>
            </a:solidFill>
          </a:endParaRPr>
        </a:p>
      </xdr:txBody>
    </xdr:sp>
    <xdr:clientData/>
  </xdr:twoCellAnchor>
  <xdr:twoCellAnchor>
    <xdr:from>
      <xdr:col>0</xdr:col>
      <xdr:colOff>0</xdr:colOff>
      <xdr:row>2</xdr:row>
      <xdr:rowOff>12700</xdr:rowOff>
    </xdr:from>
    <xdr:to>
      <xdr:col>0</xdr:col>
      <xdr:colOff>2781300</xdr:colOff>
      <xdr:row>4</xdr:row>
      <xdr:rowOff>165100</xdr:rowOff>
    </xdr:to>
    <xdr:sp macro="" textlink="">
      <xdr:nvSpPr>
        <xdr:cNvPr id="19" name="Rounded Rectangle 18">
          <a:hlinkClick xmlns:r="http://schemas.openxmlformats.org/officeDocument/2006/relationships" r:id="rId7" tooltip="Go to Input sheet"/>
          <a:extLst>
            <a:ext uri="{FF2B5EF4-FFF2-40B4-BE49-F238E27FC236}">
              <a16:creationId xmlns:a16="http://schemas.microsoft.com/office/drawing/2014/main" id="{1E785F37-6850-5144-A394-B46EFC5EFDA6}"/>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8</xdr:row>
      <xdr:rowOff>447675</xdr:rowOff>
    </xdr:from>
    <xdr:to>
      <xdr:col>9</xdr:col>
      <xdr:colOff>2828925</xdr:colOff>
      <xdr:row>8</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932BC9-9D79-4BAB-8D85-E377576140D1}"/>
            </a:ext>
          </a:extLst>
        </xdr:cNvPr>
        <xdr:cNvSpPr/>
      </xdr:nvSpPr>
      <xdr:spPr>
        <a:xfrm>
          <a:off x="14277975" y="1089342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28574</xdr:colOff>
      <xdr:row>8</xdr:row>
      <xdr:rowOff>628650</xdr:rowOff>
    </xdr:from>
    <xdr:to>
      <xdr:col>9</xdr:col>
      <xdr:colOff>2838449</xdr:colOff>
      <xdr:row>8</xdr:row>
      <xdr:rowOff>971550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9CA3CDC-6F89-4950-B39F-7398168CC290}"/>
            </a:ext>
          </a:extLst>
        </xdr:cNvPr>
        <xdr:cNvSpPr/>
      </xdr:nvSpPr>
      <xdr:spPr>
        <a:xfrm>
          <a:off x="14309724" y="11077575"/>
          <a:ext cx="28067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8</xdr:row>
      <xdr:rowOff>971550</xdr:rowOff>
    </xdr:from>
    <xdr:to>
      <xdr:col>9</xdr:col>
      <xdr:colOff>2952750</xdr:colOff>
      <xdr:row>9</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BB273C8C-4964-4F4B-9C14-89AE92361C0C}"/>
            </a:ext>
          </a:extLst>
        </xdr:cNvPr>
        <xdr:cNvSpPr/>
      </xdr:nvSpPr>
      <xdr:spPr>
        <a:xfrm>
          <a:off x="14303375" y="11420475"/>
          <a:ext cx="29273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9</xdr:row>
      <xdr:rowOff>447675</xdr:rowOff>
    </xdr:from>
    <xdr:to>
      <xdr:col>9</xdr:col>
      <xdr:colOff>2828925</xdr:colOff>
      <xdr:row>9</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AC486362-E136-45EF-A5B4-3896DAD2061B}"/>
            </a:ext>
          </a:extLst>
        </xdr:cNvPr>
        <xdr:cNvSpPr/>
      </xdr:nvSpPr>
      <xdr:spPr>
        <a:xfrm>
          <a:off x="14277975" y="12036425"/>
          <a:ext cx="28257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9</xdr:row>
      <xdr:rowOff>387350</xdr:rowOff>
    </xdr:from>
    <xdr:to>
      <xdr:col>9</xdr:col>
      <xdr:colOff>2901950</xdr:colOff>
      <xdr:row>10</xdr:row>
      <xdr:rowOff>15875</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9E096FDD-85AA-4C24-AD79-AF1DD05CE6D8}"/>
            </a:ext>
          </a:extLst>
        </xdr:cNvPr>
        <xdr:cNvSpPr/>
      </xdr:nvSpPr>
      <xdr:spPr>
        <a:xfrm>
          <a:off x="14284325" y="11982450"/>
          <a:ext cx="2898775" cy="187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9</xdr:row>
      <xdr:rowOff>38099</xdr:rowOff>
    </xdr:from>
    <xdr:to>
      <xdr:col>9</xdr:col>
      <xdr:colOff>2952750</xdr:colOff>
      <xdr:row>9</xdr:row>
      <xdr:rowOff>393699</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7C87688F-266F-4945-A4CF-4FB95218101D}"/>
            </a:ext>
          </a:extLst>
        </xdr:cNvPr>
        <xdr:cNvSpPr/>
      </xdr:nvSpPr>
      <xdr:spPr>
        <a:xfrm>
          <a:off x="14303375" y="11630024"/>
          <a:ext cx="2927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447675</xdr:rowOff>
    </xdr:from>
    <xdr:to>
      <xdr:col>9</xdr:col>
      <xdr:colOff>2828925</xdr:colOff>
      <xdr:row>10</xdr:row>
      <xdr:rowOff>600075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B2CDD6F4-8E7A-4779-B926-3909913979AB}"/>
            </a:ext>
          </a:extLst>
        </xdr:cNvPr>
        <xdr:cNvSpPr/>
      </xdr:nvSpPr>
      <xdr:spPr>
        <a:xfrm>
          <a:off x="10639425" y="3968750"/>
          <a:ext cx="20256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10</xdr:row>
      <xdr:rowOff>387350</xdr:rowOff>
    </xdr:from>
    <xdr:to>
      <xdr:col>9</xdr:col>
      <xdr:colOff>2901950</xdr:colOff>
      <xdr:row>11</xdr:row>
      <xdr:rowOff>15875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41B6DBDD-944A-4BA2-ACA3-6932F30AC711}"/>
            </a:ext>
          </a:extLst>
        </xdr:cNvPr>
        <xdr:cNvSpPr/>
      </xdr:nvSpPr>
      <xdr:spPr>
        <a:xfrm>
          <a:off x="10645775" y="3914775"/>
          <a:ext cx="2022475" cy="549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10</xdr:row>
      <xdr:rowOff>38099</xdr:rowOff>
    </xdr:from>
    <xdr:to>
      <xdr:col>9</xdr:col>
      <xdr:colOff>2952750</xdr:colOff>
      <xdr:row>10</xdr:row>
      <xdr:rowOff>393699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56418662-821D-4DA7-A256-29793F20B10D}"/>
            </a:ext>
          </a:extLst>
        </xdr:cNvPr>
        <xdr:cNvSpPr/>
      </xdr:nvSpPr>
      <xdr:spPr>
        <a:xfrm>
          <a:off x="10664825" y="3562349"/>
          <a:ext cx="20034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10</xdr:row>
      <xdr:rowOff>387350</xdr:rowOff>
    </xdr:from>
    <xdr:to>
      <xdr:col>9</xdr:col>
      <xdr:colOff>2901950</xdr:colOff>
      <xdr:row>11</xdr:row>
      <xdr:rowOff>15875</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A804C130-9BEB-42DA-B65E-B6B5D9D97D14}"/>
            </a:ext>
          </a:extLst>
        </xdr:cNvPr>
        <xdr:cNvSpPr/>
      </xdr:nvSpPr>
      <xdr:spPr>
        <a:xfrm>
          <a:off x="9074150" y="410527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11</xdr:row>
      <xdr:rowOff>447675</xdr:rowOff>
    </xdr:from>
    <xdr:to>
      <xdr:col>9</xdr:col>
      <xdr:colOff>2828925</xdr:colOff>
      <xdr:row>11</xdr:row>
      <xdr:rowOff>600075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29749692-4E00-4C46-8A3F-67994AA861B4}"/>
            </a:ext>
          </a:extLst>
        </xdr:cNvPr>
        <xdr:cNvSpPr/>
      </xdr:nvSpPr>
      <xdr:spPr>
        <a:xfrm>
          <a:off x="9067800" y="4711700"/>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11</xdr:row>
      <xdr:rowOff>387350</xdr:rowOff>
    </xdr:from>
    <xdr:to>
      <xdr:col>9</xdr:col>
      <xdr:colOff>2901950</xdr:colOff>
      <xdr:row>12</xdr:row>
      <xdr:rowOff>15875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A41964BB-BCF8-4F0E-B4C9-BBBCADDF3E22}"/>
            </a:ext>
          </a:extLst>
        </xdr:cNvPr>
        <xdr:cNvSpPr/>
      </xdr:nvSpPr>
      <xdr:spPr>
        <a:xfrm>
          <a:off x="9074150" y="46577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11</xdr:row>
      <xdr:rowOff>38099</xdr:rowOff>
    </xdr:from>
    <xdr:to>
      <xdr:col>9</xdr:col>
      <xdr:colOff>2952750</xdr:colOff>
      <xdr:row>11</xdr:row>
      <xdr:rowOff>393699</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BDBD8264-A664-4B88-BE33-011E48F7A269}"/>
            </a:ext>
          </a:extLst>
        </xdr:cNvPr>
        <xdr:cNvSpPr/>
      </xdr:nvSpPr>
      <xdr:spPr>
        <a:xfrm>
          <a:off x="9093200" y="4305299"/>
          <a:ext cx="2927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11</xdr:row>
      <xdr:rowOff>387350</xdr:rowOff>
    </xdr:from>
    <xdr:to>
      <xdr:col>9</xdr:col>
      <xdr:colOff>2901950</xdr:colOff>
      <xdr:row>12</xdr:row>
      <xdr:rowOff>15875</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F67FFD3D-FD67-4721-89FE-E40A48131D74}"/>
            </a:ext>
          </a:extLst>
        </xdr:cNvPr>
        <xdr:cNvSpPr/>
      </xdr:nvSpPr>
      <xdr:spPr>
        <a:xfrm>
          <a:off x="9074150" y="410527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12</xdr:row>
      <xdr:rowOff>447675</xdr:rowOff>
    </xdr:from>
    <xdr:to>
      <xdr:col>9</xdr:col>
      <xdr:colOff>2828925</xdr:colOff>
      <xdr:row>12</xdr:row>
      <xdr:rowOff>600075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DEB889CB-EA62-40D0-8EF7-539552EFD831}"/>
            </a:ext>
          </a:extLst>
        </xdr:cNvPr>
        <xdr:cNvSpPr/>
      </xdr:nvSpPr>
      <xdr:spPr>
        <a:xfrm>
          <a:off x="9067800" y="4711700"/>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12</xdr:row>
      <xdr:rowOff>387350</xdr:rowOff>
    </xdr:from>
    <xdr:to>
      <xdr:col>9</xdr:col>
      <xdr:colOff>2901950</xdr:colOff>
      <xdr:row>13</xdr:row>
      <xdr:rowOff>15875</xdr:rowOff>
    </xdr:to>
    <xdr:sp macro="" textlink="">
      <xdr:nvSpPr>
        <xdr:cNvPr id="17" name="Rectangle 16">
          <a:hlinkClick xmlns:r="http://schemas.openxmlformats.org/officeDocument/2006/relationships" r:id="rId3"/>
          <a:extLst>
            <a:ext uri="{FF2B5EF4-FFF2-40B4-BE49-F238E27FC236}">
              <a16:creationId xmlns:a16="http://schemas.microsoft.com/office/drawing/2014/main" id="{EA4BC023-DED9-4A8B-A2A5-1A627BA357C3}"/>
            </a:ext>
          </a:extLst>
        </xdr:cNvPr>
        <xdr:cNvSpPr/>
      </xdr:nvSpPr>
      <xdr:spPr>
        <a:xfrm>
          <a:off x="9074150" y="46577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12</xdr:row>
      <xdr:rowOff>38099</xdr:rowOff>
    </xdr:from>
    <xdr:to>
      <xdr:col>9</xdr:col>
      <xdr:colOff>2952750</xdr:colOff>
      <xdr:row>12</xdr:row>
      <xdr:rowOff>393699</xdr:rowOff>
    </xdr:to>
    <xdr:sp macro="" textlink="">
      <xdr:nvSpPr>
        <xdr:cNvPr id="18" name="Rectangle 17">
          <a:hlinkClick xmlns:r="http://schemas.openxmlformats.org/officeDocument/2006/relationships" r:id="rId2"/>
          <a:extLst>
            <a:ext uri="{FF2B5EF4-FFF2-40B4-BE49-F238E27FC236}">
              <a16:creationId xmlns:a16="http://schemas.microsoft.com/office/drawing/2014/main" id="{14CD7B86-3C5B-498F-95E6-7395173AAF34}"/>
            </a:ext>
          </a:extLst>
        </xdr:cNvPr>
        <xdr:cNvSpPr/>
      </xdr:nvSpPr>
      <xdr:spPr>
        <a:xfrm>
          <a:off x="9093200" y="4305299"/>
          <a:ext cx="2927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12</xdr:row>
      <xdr:rowOff>387350</xdr:rowOff>
    </xdr:from>
    <xdr:to>
      <xdr:col>9</xdr:col>
      <xdr:colOff>2901950</xdr:colOff>
      <xdr:row>13</xdr:row>
      <xdr:rowOff>15875</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E7A234AE-EB2E-44AD-A56B-691DA463B28E}"/>
            </a:ext>
          </a:extLst>
        </xdr:cNvPr>
        <xdr:cNvSpPr/>
      </xdr:nvSpPr>
      <xdr:spPr>
        <a:xfrm>
          <a:off x="9074150" y="46577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13</xdr:row>
      <xdr:rowOff>234950</xdr:rowOff>
    </xdr:from>
    <xdr:to>
      <xdr:col>9</xdr:col>
      <xdr:colOff>2828925</xdr:colOff>
      <xdr:row>13</xdr:row>
      <xdr:rowOff>387350</xdr:rowOff>
    </xdr:to>
    <xdr:sp macro="" textlink="">
      <xdr:nvSpPr>
        <xdr:cNvPr id="20" name="Rectangle 19">
          <a:hlinkClick xmlns:r="http://schemas.openxmlformats.org/officeDocument/2006/relationships" r:id="rId1"/>
          <a:extLst>
            <a:ext uri="{FF2B5EF4-FFF2-40B4-BE49-F238E27FC236}">
              <a16:creationId xmlns:a16="http://schemas.microsoft.com/office/drawing/2014/main" id="{B2377204-C168-44FD-8394-C4DF0F5EB525}"/>
            </a:ext>
          </a:extLst>
        </xdr:cNvPr>
        <xdr:cNvSpPr/>
      </xdr:nvSpPr>
      <xdr:spPr>
        <a:xfrm>
          <a:off x="14277975" y="1675447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3174</xdr:colOff>
      <xdr:row>13</xdr:row>
      <xdr:rowOff>415925</xdr:rowOff>
    </xdr:from>
    <xdr:to>
      <xdr:col>9</xdr:col>
      <xdr:colOff>2813049</xdr:colOff>
      <xdr:row>13</xdr:row>
      <xdr:rowOff>714375</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45948E24-C86E-49CF-BEB9-5F2D6E2A6349}"/>
            </a:ext>
          </a:extLst>
        </xdr:cNvPr>
        <xdr:cNvSpPr/>
      </xdr:nvSpPr>
      <xdr:spPr>
        <a:xfrm>
          <a:off x="14281149" y="16932275"/>
          <a:ext cx="28067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13</xdr:row>
      <xdr:rowOff>752475</xdr:rowOff>
    </xdr:from>
    <xdr:to>
      <xdr:col>9</xdr:col>
      <xdr:colOff>2952750</xdr:colOff>
      <xdr:row>14</xdr:row>
      <xdr:rowOff>0</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E1FEBDA7-8341-4812-8BF1-44DD39840D24}"/>
            </a:ext>
          </a:extLst>
        </xdr:cNvPr>
        <xdr:cNvSpPr/>
      </xdr:nvSpPr>
      <xdr:spPr>
        <a:xfrm flipV="1">
          <a:off x="14303375" y="17265650"/>
          <a:ext cx="2927350" cy="17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14</xdr:row>
      <xdr:rowOff>447675</xdr:rowOff>
    </xdr:from>
    <xdr:to>
      <xdr:col>9</xdr:col>
      <xdr:colOff>2828925</xdr:colOff>
      <xdr:row>14</xdr:row>
      <xdr:rowOff>600075</xdr:rowOff>
    </xdr:to>
    <xdr:sp macro="" textlink="">
      <xdr:nvSpPr>
        <xdr:cNvPr id="27" name="Rectangle 26">
          <a:hlinkClick xmlns:r="http://schemas.openxmlformats.org/officeDocument/2006/relationships" r:id="rId1"/>
          <a:extLst>
            <a:ext uri="{FF2B5EF4-FFF2-40B4-BE49-F238E27FC236}">
              <a16:creationId xmlns:a16="http://schemas.microsoft.com/office/drawing/2014/main" id="{29C6EA41-9C37-44BC-AA72-233BA0DCE837}"/>
            </a:ext>
          </a:extLst>
        </xdr:cNvPr>
        <xdr:cNvSpPr/>
      </xdr:nvSpPr>
      <xdr:spPr>
        <a:xfrm>
          <a:off x="14277975" y="178847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14</xdr:row>
      <xdr:rowOff>387351</xdr:rowOff>
    </xdr:from>
    <xdr:to>
      <xdr:col>9</xdr:col>
      <xdr:colOff>2901950</xdr:colOff>
      <xdr:row>14</xdr:row>
      <xdr:rowOff>723901</xdr:rowOff>
    </xdr:to>
    <xdr:sp macro="" textlink="">
      <xdr:nvSpPr>
        <xdr:cNvPr id="28" name="Rectangle 27">
          <a:hlinkClick xmlns:r="http://schemas.openxmlformats.org/officeDocument/2006/relationships" r:id="rId3"/>
          <a:extLst>
            <a:ext uri="{FF2B5EF4-FFF2-40B4-BE49-F238E27FC236}">
              <a16:creationId xmlns:a16="http://schemas.microsoft.com/office/drawing/2014/main" id="{93BC305C-8F70-4035-8D8D-D0AD033A8356}"/>
            </a:ext>
          </a:extLst>
        </xdr:cNvPr>
        <xdr:cNvSpPr/>
      </xdr:nvSpPr>
      <xdr:spPr>
        <a:xfrm>
          <a:off x="14284325" y="178308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14</xdr:row>
      <xdr:rowOff>12698</xdr:rowOff>
    </xdr:from>
    <xdr:to>
      <xdr:col>9</xdr:col>
      <xdr:colOff>2914650</xdr:colOff>
      <xdr:row>14</xdr:row>
      <xdr:rowOff>380999</xdr:rowOff>
    </xdr:to>
    <xdr:sp macro="" textlink="">
      <xdr:nvSpPr>
        <xdr:cNvPr id="29" name="Rectangle 28">
          <a:hlinkClick xmlns:r="http://schemas.openxmlformats.org/officeDocument/2006/relationships" r:id="rId2"/>
          <a:extLst>
            <a:ext uri="{FF2B5EF4-FFF2-40B4-BE49-F238E27FC236}">
              <a16:creationId xmlns:a16="http://schemas.microsoft.com/office/drawing/2014/main" id="{09570F62-64E2-4D42-B722-7E7B80DFB8C9}"/>
            </a:ext>
          </a:extLst>
        </xdr:cNvPr>
        <xdr:cNvSpPr/>
      </xdr:nvSpPr>
      <xdr:spPr>
        <a:xfrm>
          <a:off x="14265275" y="17449798"/>
          <a:ext cx="2927350"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15</xdr:row>
      <xdr:rowOff>447675</xdr:rowOff>
    </xdr:from>
    <xdr:to>
      <xdr:col>9</xdr:col>
      <xdr:colOff>2828925</xdr:colOff>
      <xdr:row>15</xdr:row>
      <xdr:rowOff>600075</xdr:rowOff>
    </xdr:to>
    <xdr:sp macro="" textlink="">
      <xdr:nvSpPr>
        <xdr:cNvPr id="30" name="Rectangle 29">
          <a:hlinkClick xmlns:r="http://schemas.openxmlformats.org/officeDocument/2006/relationships" r:id="rId1"/>
          <a:extLst>
            <a:ext uri="{FF2B5EF4-FFF2-40B4-BE49-F238E27FC236}">
              <a16:creationId xmlns:a16="http://schemas.microsoft.com/office/drawing/2014/main" id="{702D9F41-EADD-4E45-AB07-B71123EEB57A}"/>
            </a:ext>
          </a:extLst>
        </xdr:cNvPr>
        <xdr:cNvSpPr/>
      </xdr:nvSpPr>
      <xdr:spPr>
        <a:xfrm>
          <a:off x="9067800" y="71024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15</xdr:row>
      <xdr:rowOff>387351</xdr:rowOff>
    </xdr:from>
    <xdr:to>
      <xdr:col>9</xdr:col>
      <xdr:colOff>2901950</xdr:colOff>
      <xdr:row>15</xdr:row>
      <xdr:rowOff>723901</xdr:rowOff>
    </xdr:to>
    <xdr:sp macro="" textlink="">
      <xdr:nvSpPr>
        <xdr:cNvPr id="31" name="Rectangle 30">
          <a:hlinkClick xmlns:r="http://schemas.openxmlformats.org/officeDocument/2006/relationships" r:id="rId3"/>
          <a:extLst>
            <a:ext uri="{FF2B5EF4-FFF2-40B4-BE49-F238E27FC236}">
              <a16:creationId xmlns:a16="http://schemas.microsoft.com/office/drawing/2014/main" id="{EE3572F5-6BF1-4946-B6BD-902BF5F5443D}"/>
            </a:ext>
          </a:extLst>
        </xdr:cNvPr>
        <xdr:cNvSpPr/>
      </xdr:nvSpPr>
      <xdr:spPr>
        <a:xfrm>
          <a:off x="9074150" y="70485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15</xdr:row>
      <xdr:rowOff>12698</xdr:rowOff>
    </xdr:from>
    <xdr:to>
      <xdr:col>9</xdr:col>
      <xdr:colOff>2914650</xdr:colOff>
      <xdr:row>15</xdr:row>
      <xdr:rowOff>380999</xdr:rowOff>
    </xdr:to>
    <xdr:sp macro="" textlink="">
      <xdr:nvSpPr>
        <xdr:cNvPr id="32" name="Rectangle 31">
          <a:hlinkClick xmlns:r="http://schemas.openxmlformats.org/officeDocument/2006/relationships" r:id="rId2"/>
          <a:extLst>
            <a:ext uri="{FF2B5EF4-FFF2-40B4-BE49-F238E27FC236}">
              <a16:creationId xmlns:a16="http://schemas.microsoft.com/office/drawing/2014/main" id="{94C96DF7-11F2-4995-A732-A8FF116D09DD}"/>
            </a:ext>
          </a:extLst>
        </xdr:cNvPr>
        <xdr:cNvSpPr/>
      </xdr:nvSpPr>
      <xdr:spPr>
        <a:xfrm>
          <a:off x="9064625" y="66674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16</xdr:row>
      <xdr:rowOff>447675</xdr:rowOff>
    </xdr:from>
    <xdr:to>
      <xdr:col>9</xdr:col>
      <xdr:colOff>2828925</xdr:colOff>
      <xdr:row>16</xdr:row>
      <xdr:rowOff>600075</xdr:rowOff>
    </xdr:to>
    <xdr:sp macro="" textlink="">
      <xdr:nvSpPr>
        <xdr:cNvPr id="33" name="Rectangle 32">
          <a:hlinkClick xmlns:r="http://schemas.openxmlformats.org/officeDocument/2006/relationships" r:id="rId1"/>
          <a:extLst>
            <a:ext uri="{FF2B5EF4-FFF2-40B4-BE49-F238E27FC236}">
              <a16:creationId xmlns:a16="http://schemas.microsoft.com/office/drawing/2014/main" id="{BBED1C60-D966-4AF6-A852-D141073CF07E}"/>
            </a:ext>
          </a:extLst>
        </xdr:cNvPr>
        <xdr:cNvSpPr/>
      </xdr:nvSpPr>
      <xdr:spPr>
        <a:xfrm>
          <a:off x="9067800" y="71024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16</xdr:row>
      <xdr:rowOff>387351</xdr:rowOff>
    </xdr:from>
    <xdr:to>
      <xdr:col>9</xdr:col>
      <xdr:colOff>2901950</xdr:colOff>
      <xdr:row>16</xdr:row>
      <xdr:rowOff>723901</xdr:rowOff>
    </xdr:to>
    <xdr:sp macro="" textlink="">
      <xdr:nvSpPr>
        <xdr:cNvPr id="34" name="Rectangle 33">
          <a:hlinkClick xmlns:r="http://schemas.openxmlformats.org/officeDocument/2006/relationships" r:id="rId3"/>
          <a:extLst>
            <a:ext uri="{FF2B5EF4-FFF2-40B4-BE49-F238E27FC236}">
              <a16:creationId xmlns:a16="http://schemas.microsoft.com/office/drawing/2014/main" id="{FFDB8A2F-B869-41E2-843E-7CA3F945A39F}"/>
            </a:ext>
          </a:extLst>
        </xdr:cNvPr>
        <xdr:cNvSpPr/>
      </xdr:nvSpPr>
      <xdr:spPr>
        <a:xfrm>
          <a:off x="9074150" y="70485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16</xdr:row>
      <xdr:rowOff>12698</xdr:rowOff>
    </xdr:from>
    <xdr:to>
      <xdr:col>9</xdr:col>
      <xdr:colOff>2914650</xdr:colOff>
      <xdr:row>16</xdr:row>
      <xdr:rowOff>380999</xdr:rowOff>
    </xdr:to>
    <xdr:sp macro="" textlink="">
      <xdr:nvSpPr>
        <xdr:cNvPr id="35" name="Rectangle 34">
          <a:hlinkClick xmlns:r="http://schemas.openxmlformats.org/officeDocument/2006/relationships" r:id="rId2"/>
          <a:extLst>
            <a:ext uri="{FF2B5EF4-FFF2-40B4-BE49-F238E27FC236}">
              <a16:creationId xmlns:a16="http://schemas.microsoft.com/office/drawing/2014/main" id="{E1E2C090-0A33-4231-B014-76C2A225FACC}"/>
            </a:ext>
          </a:extLst>
        </xdr:cNvPr>
        <xdr:cNvSpPr/>
      </xdr:nvSpPr>
      <xdr:spPr>
        <a:xfrm>
          <a:off x="9064625" y="66674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16</xdr:row>
      <xdr:rowOff>387350</xdr:rowOff>
    </xdr:from>
    <xdr:to>
      <xdr:col>9</xdr:col>
      <xdr:colOff>2901950</xdr:colOff>
      <xdr:row>17</xdr:row>
      <xdr:rowOff>15875</xdr:rowOff>
    </xdr:to>
    <xdr:sp macro="" textlink="">
      <xdr:nvSpPr>
        <xdr:cNvPr id="36" name="Rectangle 35">
          <a:hlinkClick xmlns:r="http://schemas.openxmlformats.org/officeDocument/2006/relationships" r:id="rId3"/>
          <a:extLst>
            <a:ext uri="{FF2B5EF4-FFF2-40B4-BE49-F238E27FC236}">
              <a16:creationId xmlns:a16="http://schemas.microsoft.com/office/drawing/2014/main" id="{871C381B-BC54-4BCA-B382-EA9089E501AE}"/>
            </a:ext>
          </a:extLst>
        </xdr:cNvPr>
        <xdr:cNvSpPr/>
      </xdr:nvSpPr>
      <xdr:spPr>
        <a:xfrm>
          <a:off x="9074150" y="57626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16</xdr:row>
      <xdr:rowOff>387350</xdr:rowOff>
    </xdr:from>
    <xdr:to>
      <xdr:col>9</xdr:col>
      <xdr:colOff>2901950</xdr:colOff>
      <xdr:row>17</xdr:row>
      <xdr:rowOff>15875</xdr:rowOff>
    </xdr:to>
    <xdr:sp macro="" textlink="">
      <xdr:nvSpPr>
        <xdr:cNvPr id="37" name="Rectangle 36">
          <a:hlinkClick xmlns:r="http://schemas.openxmlformats.org/officeDocument/2006/relationships" r:id="rId3"/>
          <a:extLst>
            <a:ext uri="{FF2B5EF4-FFF2-40B4-BE49-F238E27FC236}">
              <a16:creationId xmlns:a16="http://schemas.microsoft.com/office/drawing/2014/main" id="{D8AF2104-6A3B-4E7F-A23E-70418DED00E7}"/>
            </a:ext>
          </a:extLst>
        </xdr:cNvPr>
        <xdr:cNvSpPr/>
      </xdr:nvSpPr>
      <xdr:spPr>
        <a:xfrm>
          <a:off x="9074150" y="57626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17</xdr:row>
      <xdr:rowOff>0</xdr:rowOff>
    </xdr:from>
    <xdr:to>
      <xdr:col>9</xdr:col>
      <xdr:colOff>2835275</xdr:colOff>
      <xdr:row>17</xdr:row>
      <xdr:rowOff>152400</xdr:rowOff>
    </xdr:to>
    <xdr:sp macro="" textlink="">
      <xdr:nvSpPr>
        <xdr:cNvPr id="38" name="Rectangle 37">
          <a:hlinkClick xmlns:r="http://schemas.openxmlformats.org/officeDocument/2006/relationships" r:id="rId1"/>
          <a:extLst>
            <a:ext uri="{FF2B5EF4-FFF2-40B4-BE49-F238E27FC236}">
              <a16:creationId xmlns:a16="http://schemas.microsoft.com/office/drawing/2014/main" id="{27C08704-6A6D-4240-B59B-63D4BB407A3E}"/>
            </a:ext>
          </a:extLst>
        </xdr:cNvPr>
        <xdr:cNvSpPr/>
      </xdr:nvSpPr>
      <xdr:spPr>
        <a:xfrm>
          <a:off x="9077325" y="831532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3174</xdr:colOff>
      <xdr:row>17</xdr:row>
      <xdr:rowOff>180974</xdr:rowOff>
    </xdr:from>
    <xdr:to>
      <xdr:col>9</xdr:col>
      <xdr:colOff>2813049</xdr:colOff>
      <xdr:row>17</xdr:row>
      <xdr:rowOff>533399</xdr:rowOff>
    </xdr:to>
    <xdr:sp macro="" textlink="">
      <xdr:nvSpPr>
        <xdr:cNvPr id="39" name="Rectangle 38">
          <a:hlinkClick xmlns:r="http://schemas.openxmlformats.org/officeDocument/2006/relationships" r:id="rId2"/>
          <a:extLst>
            <a:ext uri="{FF2B5EF4-FFF2-40B4-BE49-F238E27FC236}">
              <a16:creationId xmlns:a16="http://schemas.microsoft.com/office/drawing/2014/main" id="{CD4882F6-F6A2-4F15-AC7A-EBC2D69CC670}"/>
            </a:ext>
          </a:extLst>
        </xdr:cNvPr>
        <xdr:cNvSpPr/>
      </xdr:nvSpPr>
      <xdr:spPr>
        <a:xfrm>
          <a:off x="9070974" y="8496299"/>
          <a:ext cx="28098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17</xdr:row>
      <xdr:rowOff>752475</xdr:rowOff>
    </xdr:from>
    <xdr:to>
      <xdr:col>9</xdr:col>
      <xdr:colOff>2952750</xdr:colOff>
      <xdr:row>18</xdr:row>
      <xdr:rowOff>0</xdr:rowOff>
    </xdr:to>
    <xdr:sp macro="" textlink="">
      <xdr:nvSpPr>
        <xdr:cNvPr id="40" name="Rectangle 39">
          <a:hlinkClick xmlns:r="http://schemas.openxmlformats.org/officeDocument/2006/relationships" r:id="rId3"/>
          <a:extLst>
            <a:ext uri="{FF2B5EF4-FFF2-40B4-BE49-F238E27FC236}">
              <a16:creationId xmlns:a16="http://schemas.microsoft.com/office/drawing/2014/main" id="{18092493-D26D-438E-AEDE-A46A0880FBCA}"/>
            </a:ext>
          </a:extLst>
        </xdr:cNvPr>
        <xdr:cNvSpPr/>
      </xdr:nvSpPr>
      <xdr:spPr>
        <a:xfrm flipV="1">
          <a:off x="9093200" y="6654800"/>
          <a:ext cx="2927350" cy="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18</xdr:row>
      <xdr:rowOff>12698</xdr:rowOff>
    </xdr:from>
    <xdr:to>
      <xdr:col>9</xdr:col>
      <xdr:colOff>2914650</xdr:colOff>
      <xdr:row>18</xdr:row>
      <xdr:rowOff>380999</xdr:rowOff>
    </xdr:to>
    <xdr:sp macro="" textlink="">
      <xdr:nvSpPr>
        <xdr:cNvPr id="41" name="Rectangle 40">
          <a:hlinkClick xmlns:r="http://schemas.openxmlformats.org/officeDocument/2006/relationships" r:id="rId2"/>
          <a:extLst>
            <a:ext uri="{FF2B5EF4-FFF2-40B4-BE49-F238E27FC236}">
              <a16:creationId xmlns:a16="http://schemas.microsoft.com/office/drawing/2014/main" id="{D1EBFE80-55C1-4B73-A037-17566E6E8A1F}"/>
            </a:ext>
          </a:extLst>
        </xdr:cNvPr>
        <xdr:cNvSpPr/>
      </xdr:nvSpPr>
      <xdr:spPr>
        <a:xfrm>
          <a:off x="9064625" y="66674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42" name="Rectangle 41">
          <a:hlinkClick xmlns:r="http://schemas.openxmlformats.org/officeDocument/2006/relationships" r:id="rId2"/>
          <a:extLst>
            <a:ext uri="{FF2B5EF4-FFF2-40B4-BE49-F238E27FC236}">
              <a16:creationId xmlns:a16="http://schemas.microsoft.com/office/drawing/2014/main" id="{D07F60AD-0D32-445C-9439-FD082A224CBA}"/>
            </a:ext>
          </a:extLst>
        </xdr:cNvPr>
        <xdr:cNvSpPr/>
      </xdr:nvSpPr>
      <xdr:spPr>
        <a:xfrm>
          <a:off x="9064625" y="72199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43" name="Rectangle 42">
          <a:hlinkClick xmlns:r="http://schemas.openxmlformats.org/officeDocument/2006/relationships" r:id="rId2"/>
          <a:extLst>
            <a:ext uri="{FF2B5EF4-FFF2-40B4-BE49-F238E27FC236}">
              <a16:creationId xmlns:a16="http://schemas.microsoft.com/office/drawing/2014/main" id="{C8C8C4F0-1DDD-459E-965A-339060F48C4D}"/>
            </a:ext>
          </a:extLst>
        </xdr:cNvPr>
        <xdr:cNvSpPr/>
      </xdr:nvSpPr>
      <xdr:spPr>
        <a:xfrm>
          <a:off x="9064625" y="9029698"/>
          <a:ext cx="2917825" cy="171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44" name="Rectangle 43">
          <a:hlinkClick xmlns:r="http://schemas.openxmlformats.org/officeDocument/2006/relationships" r:id="rId2"/>
          <a:extLst>
            <a:ext uri="{FF2B5EF4-FFF2-40B4-BE49-F238E27FC236}">
              <a16:creationId xmlns:a16="http://schemas.microsoft.com/office/drawing/2014/main" id="{59ED4561-7961-4BB7-8AC1-87B5EDED24E9}"/>
            </a:ext>
          </a:extLst>
        </xdr:cNvPr>
        <xdr:cNvSpPr/>
      </xdr:nvSpPr>
      <xdr:spPr>
        <a:xfrm>
          <a:off x="9064625" y="90296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6350</xdr:colOff>
      <xdr:row>17</xdr:row>
      <xdr:rowOff>552450</xdr:rowOff>
    </xdr:from>
    <xdr:to>
      <xdr:col>9</xdr:col>
      <xdr:colOff>2905125</xdr:colOff>
      <xdr:row>18</xdr:row>
      <xdr:rowOff>1</xdr:rowOff>
    </xdr:to>
    <xdr:sp macro="" textlink="">
      <xdr:nvSpPr>
        <xdr:cNvPr id="45" name="Rectangle 44">
          <a:hlinkClick xmlns:r="http://schemas.openxmlformats.org/officeDocument/2006/relationships" r:id="rId3"/>
          <a:extLst>
            <a:ext uri="{FF2B5EF4-FFF2-40B4-BE49-F238E27FC236}">
              <a16:creationId xmlns:a16="http://schemas.microsoft.com/office/drawing/2014/main" id="{8B67D22E-A795-48B4-B368-D71812D2C64C}"/>
            </a:ext>
          </a:extLst>
        </xdr:cNvPr>
        <xdr:cNvSpPr/>
      </xdr:nvSpPr>
      <xdr:spPr>
        <a:xfrm>
          <a:off x="9074150" y="8867775"/>
          <a:ext cx="2898775"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18</xdr:row>
      <xdr:rowOff>447675</xdr:rowOff>
    </xdr:from>
    <xdr:to>
      <xdr:col>9</xdr:col>
      <xdr:colOff>2828925</xdr:colOff>
      <xdr:row>18</xdr:row>
      <xdr:rowOff>600075</xdr:rowOff>
    </xdr:to>
    <xdr:sp macro="" textlink="">
      <xdr:nvSpPr>
        <xdr:cNvPr id="46" name="Rectangle 45">
          <a:hlinkClick xmlns:r="http://schemas.openxmlformats.org/officeDocument/2006/relationships" r:id="rId1"/>
          <a:extLst>
            <a:ext uri="{FF2B5EF4-FFF2-40B4-BE49-F238E27FC236}">
              <a16:creationId xmlns:a16="http://schemas.microsoft.com/office/drawing/2014/main" id="{CF6CFF86-DA1E-4080-80BB-38A7AD26ABF7}"/>
            </a:ext>
          </a:extLst>
        </xdr:cNvPr>
        <xdr:cNvSpPr/>
      </xdr:nvSpPr>
      <xdr:spPr>
        <a:xfrm>
          <a:off x="9067800" y="765492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18</xdr:row>
      <xdr:rowOff>387351</xdr:rowOff>
    </xdr:from>
    <xdr:to>
      <xdr:col>9</xdr:col>
      <xdr:colOff>2901950</xdr:colOff>
      <xdr:row>18</xdr:row>
      <xdr:rowOff>723901</xdr:rowOff>
    </xdr:to>
    <xdr:sp macro="" textlink="">
      <xdr:nvSpPr>
        <xdr:cNvPr id="47" name="Rectangle 46">
          <a:hlinkClick xmlns:r="http://schemas.openxmlformats.org/officeDocument/2006/relationships" r:id="rId3"/>
          <a:extLst>
            <a:ext uri="{FF2B5EF4-FFF2-40B4-BE49-F238E27FC236}">
              <a16:creationId xmlns:a16="http://schemas.microsoft.com/office/drawing/2014/main" id="{9E07399D-0E04-48C2-A20D-DB938B5F540A}"/>
            </a:ext>
          </a:extLst>
        </xdr:cNvPr>
        <xdr:cNvSpPr/>
      </xdr:nvSpPr>
      <xdr:spPr>
        <a:xfrm>
          <a:off x="9074150" y="760095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18</xdr:row>
      <xdr:rowOff>12698</xdr:rowOff>
    </xdr:from>
    <xdr:to>
      <xdr:col>9</xdr:col>
      <xdr:colOff>2914650</xdr:colOff>
      <xdr:row>18</xdr:row>
      <xdr:rowOff>380999</xdr:rowOff>
    </xdr:to>
    <xdr:sp macro="" textlink="">
      <xdr:nvSpPr>
        <xdr:cNvPr id="48" name="Rectangle 47">
          <a:hlinkClick xmlns:r="http://schemas.openxmlformats.org/officeDocument/2006/relationships" r:id="rId2"/>
          <a:extLst>
            <a:ext uri="{FF2B5EF4-FFF2-40B4-BE49-F238E27FC236}">
              <a16:creationId xmlns:a16="http://schemas.microsoft.com/office/drawing/2014/main" id="{F0A9ED24-6A78-4A3F-8FDB-81626B1FA553}"/>
            </a:ext>
          </a:extLst>
        </xdr:cNvPr>
        <xdr:cNvSpPr/>
      </xdr:nvSpPr>
      <xdr:spPr>
        <a:xfrm>
          <a:off x="9064625" y="72199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19</xdr:row>
      <xdr:rowOff>447675</xdr:rowOff>
    </xdr:from>
    <xdr:to>
      <xdr:col>9</xdr:col>
      <xdr:colOff>2828925</xdr:colOff>
      <xdr:row>19</xdr:row>
      <xdr:rowOff>600075</xdr:rowOff>
    </xdr:to>
    <xdr:sp macro="" textlink="">
      <xdr:nvSpPr>
        <xdr:cNvPr id="49" name="Rectangle 48">
          <a:hlinkClick xmlns:r="http://schemas.openxmlformats.org/officeDocument/2006/relationships" r:id="rId1"/>
          <a:extLst>
            <a:ext uri="{FF2B5EF4-FFF2-40B4-BE49-F238E27FC236}">
              <a16:creationId xmlns:a16="http://schemas.microsoft.com/office/drawing/2014/main" id="{4B13A191-4DF2-4EA5-8BD2-72394A4595A6}"/>
            </a:ext>
          </a:extLst>
        </xdr:cNvPr>
        <xdr:cNvSpPr/>
      </xdr:nvSpPr>
      <xdr:spPr>
        <a:xfrm>
          <a:off x="9067800" y="82073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387351</xdr:rowOff>
    </xdr:from>
    <xdr:to>
      <xdr:col>9</xdr:col>
      <xdr:colOff>2901950</xdr:colOff>
      <xdr:row>19</xdr:row>
      <xdr:rowOff>723901</xdr:rowOff>
    </xdr:to>
    <xdr:sp macro="" textlink="">
      <xdr:nvSpPr>
        <xdr:cNvPr id="50" name="Rectangle 49">
          <a:hlinkClick xmlns:r="http://schemas.openxmlformats.org/officeDocument/2006/relationships" r:id="rId3"/>
          <a:extLst>
            <a:ext uri="{FF2B5EF4-FFF2-40B4-BE49-F238E27FC236}">
              <a16:creationId xmlns:a16="http://schemas.microsoft.com/office/drawing/2014/main" id="{BCC8AB83-3E62-4E05-AC24-02A8E205EDEC}"/>
            </a:ext>
          </a:extLst>
        </xdr:cNvPr>
        <xdr:cNvSpPr/>
      </xdr:nvSpPr>
      <xdr:spPr>
        <a:xfrm>
          <a:off x="9074150" y="81534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51" name="Rectangle 50">
          <a:hlinkClick xmlns:r="http://schemas.openxmlformats.org/officeDocument/2006/relationships" r:id="rId2"/>
          <a:extLst>
            <a:ext uri="{FF2B5EF4-FFF2-40B4-BE49-F238E27FC236}">
              <a16:creationId xmlns:a16="http://schemas.microsoft.com/office/drawing/2014/main" id="{7815E2CF-C4B8-45F0-BAFF-E17A464C0FCC}"/>
            </a:ext>
          </a:extLst>
        </xdr:cNvPr>
        <xdr:cNvSpPr/>
      </xdr:nvSpPr>
      <xdr:spPr>
        <a:xfrm>
          <a:off x="9064625" y="77723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2" name="Rectangle 51">
          <a:hlinkClick xmlns:r="http://schemas.openxmlformats.org/officeDocument/2006/relationships" r:id="rId3"/>
          <a:extLst>
            <a:ext uri="{FF2B5EF4-FFF2-40B4-BE49-F238E27FC236}">
              <a16:creationId xmlns:a16="http://schemas.microsoft.com/office/drawing/2014/main" id="{C108D289-23E7-4FEF-9F4F-42FE223DE5EE}"/>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3" name="Rectangle 52">
          <a:hlinkClick xmlns:r="http://schemas.openxmlformats.org/officeDocument/2006/relationships" r:id="rId3"/>
          <a:extLst>
            <a:ext uri="{FF2B5EF4-FFF2-40B4-BE49-F238E27FC236}">
              <a16:creationId xmlns:a16="http://schemas.microsoft.com/office/drawing/2014/main" id="{004ED8BB-BFC4-4AD6-9AD7-503E14FC39C4}"/>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387351</xdr:rowOff>
    </xdr:from>
    <xdr:to>
      <xdr:col>9</xdr:col>
      <xdr:colOff>2901950</xdr:colOff>
      <xdr:row>19</xdr:row>
      <xdr:rowOff>723901</xdr:rowOff>
    </xdr:to>
    <xdr:sp macro="" textlink="">
      <xdr:nvSpPr>
        <xdr:cNvPr id="54" name="Rectangle 53">
          <a:hlinkClick xmlns:r="http://schemas.openxmlformats.org/officeDocument/2006/relationships" r:id="rId3"/>
          <a:extLst>
            <a:ext uri="{FF2B5EF4-FFF2-40B4-BE49-F238E27FC236}">
              <a16:creationId xmlns:a16="http://schemas.microsoft.com/office/drawing/2014/main" id="{9C380977-91BF-4636-A0A6-600906793EA8}"/>
            </a:ext>
          </a:extLst>
        </xdr:cNvPr>
        <xdr:cNvSpPr/>
      </xdr:nvSpPr>
      <xdr:spPr>
        <a:xfrm>
          <a:off x="9074150" y="81534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5" name="Rectangle 54">
          <a:hlinkClick xmlns:r="http://schemas.openxmlformats.org/officeDocument/2006/relationships" r:id="rId3"/>
          <a:extLst>
            <a:ext uri="{FF2B5EF4-FFF2-40B4-BE49-F238E27FC236}">
              <a16:creationId xmlns:a16="http://schemas.microsoft.com/office/drawing/2014/main" id="{DDEF369B-664E-4FE7-8207-FC8E4E38337E}"/>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6" name="Rectangle 55">
          <a:hlinkClick xmlns:r="http://schemas.openxmlformats.org/officeDocument/2006/relationships" r:id="rId3"/>
          <a:extLst>
            <a:ext uri="{FF2B5EF4-FFF2-40B4-BE49-F238E27FC236}">
              <a16:creationId xmlns:a16="http://schemas.microsoft.com/office/drawing/2014/main" id="{1F5AD171-FC03-4538-8D1D-8CC4EC2A3EDC}"/>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20</xdr:row>
      <xdr:rowOff>234950</xdr:rowOff>
    </xdr:from>
    <xdr:to>
      <xdr:col>9</xdr:col>
      <xdr:colOff>2828925</xdr:colOff>
      <xdr:row>20</xdr:row>
      <xdr:rowOff>387350</xdr:rowOff>
    </xdr:to>
    <xdr:sp macro="" textlink="">
      <xdr:nvSpPr>
        <xdr:cNvPr id="57" name="Rectangle 56">
          <a:hlinkClick xmlns:r="http://schemas.openxmlformats.org/officeDocument/2006/relationships" r:id="rId1"/>
          <a:extLst>
            <a:ext uri="{FF2B5EF4-FFF2-40B4-BE49-F238E27FC236}">
              <a16:creationId xmlns:a16="http://schemas.microsoft.com/office/drawing/2014/main" id="{3DBDA7A7-47FA-49F9-836F-93A5F56205FD}"/>
            </a:ext>
          </a:extLst>
        </xdr:cNvPr>
        <xdr:cNvSpPr/>
      </xdr:nvSpPr>
      <xdr:spPr>
        <a:xfrm>
          <a:off x="9067800" y="8553450"/>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3174</xdr:colOff>
      <xdr:row>20</xdr:row>
      <xdr:rowOff>415925</xdr:rowOff>
    </xdr:from>
    <xdr:to>
      <xdr:col>9</xdr:col>
      <xdr:colOff>2813049</xdr:colOff>
      <xdr:row>20</xdr:row>
      <xdr:rowOff>714375</xdr:rowOff>
    </xdr:to>
    <xdr:sp macro="" textlink="">
      <xdr:nvSpPr>
        <xdr:cNvPr id="58" name="Rectangle 57">
          <a:hlinkClick xmlns:r="http://schemas.openxmlformats.org/officeDocument/2006/relationships" r:id="rId2"/>
          <a:extLst>
            <a:ext uri="{FF2B5EF4-FFF2-40B4-BE49-F238E27FC236}">
              <a16:creationId xmlns:a16="http://schemas.microsoft.com/office/drawing/2014/main" id="{ABBFC02B-1AEA-48B8-8406-747AC1835409}"/>
            </a:ext>
          </a:extLst>
        </xdr:cNvPr>
        <xdr:cNvSpPr/>
      </xdr:nvSpPr>
      <xdr:spPr>
        <a:xfrm>
          <a:off x="9070974" y="8731250"/>
          <a:ext cx="280670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20</xdr:row>
      <xdr:rowOff>752475</xdr:rowOff>
    </xdr:from>
    <xdr:to>
      <xdr:col>9</xdr:col>
      <xdr:colOff>2952750</xdr:colOff>
      <xdr:row>21</xdr:row>
      <xdr:rowOff>0</xdr:rowOff>
    </xdr:to>
    <xdr:sp macro="" textlink="">
      <xdr:nvSpPr>
        <xdr:cNvPr id="59" name="Rectangle 58">
          <a:hlinkClick xmlns:r="http://schemas.openxmlformats.org/officeDocument/2006/relationships" r:id="rId3"/>
          <a:extLst>
            <a:ext uri="{FF2B5EF4-FFF2-40B4-BE49-F238E27FC236}">
              <a16:creationId xmlns:a16="http://schemas.microsoft.com/office/drawing/2014/main" id="{C2C63013-C7FC-4AA0-802B-353202B6BC8B}"/>
            </a:ext>
          </a:extLst>
        </xdr:cNvPr>
        <xdr:cNvSpPr/>
      </xdr:nvSpPr>
      <xdr:spPr>
        <a:xfrm flipV="1">
          <a:off x="9093200" y="9017000"/>
          <a:ext cx="2927350" cy="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20</xdr:row>
      <xdr:rowOff>387351</xdr:rowOff>
    </xdr:from>
    <xdr:to>
      <xdr:col>9</xdr:col>
      <xdr:colOff>2901950</xdr:colOff>
      <xdr:row>20</xdr:row>
      <xdr:rowOff>723901</xdr:rowOff>
    </xdr:to>
    <xdr:sp macro="" textlink="">
      <xdr:nvSpPr>
        <xdr:cNvPr id="60" name="Rectangle 59">
          <a:hlinkClick xmlns:r="http://schemas.openxmlformats.org/officeDocument/2006/relationships" r:id="rId3"/>
          <a:extLst>
            <a:ext uri="{FF2B5EF4-FFF2-40B4-BE49-F238E27FC236}">
              <a16:creationId xmlns:a16="http://schemas.microsoft.com/office/drawing/2014/main" id="{50F505EE-3F23-4FDE-A49D-1D39C831F3DF}"/>
            </a:ext>
          </a:extLst>
        </xdr:cNvPr>
        <xdr:cNvSpPr/>
      </xdr:nvSpPr>
      <xdr:spPr>
        <a:xfrm>
          <a:off x="9074150" y="8705851"/>
          <a:ext cx="28987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21</xdr:row>
      <xdr:rowOff>12698</xdr:rowOff>
    </xdr:from>
    <xdr:to>
      <xdr:col>9</xdr:col>
      <xdr:colOff>2914650</xdr:colOff>
      <xdr:row>21</xdr:row>
      <xdr:rowOff>380999</xdr:rowOff>
    </xdr:to>
    <xdr:sp macro="" textlink="">
      <xdr:nvSpPr>
        <xdr:cNvPr id="61" name="Rectangle 60">
          <a:hlinkClick xmlns:r="http://schemas.openxmlformats.org/officeDocument/2006/relationships" r:id="rId2"/>
          <a:extLst>
            <a:ext uri="{FF2B5EF4-FFF2-40B4-BE49-F238E27FC236}">
              <a16:creationId xmlns:a16="http://schemas.microsoft.com/office/drawing/2014/main" id="{BBB859BC-4B3F-4D70-BA4D-50B04536FFA6}"/>
            </a:ext>
          </a:extLst>
        </xdr:cNvPr>
        <xdr:cNvSpPr/>
      </xdr:nvSpPr>
      <xdr:spPr>
        <a:xfrm>
          <a:off x="9064625" y="90296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62" name="Rectangle 61">
          <a:hlinkClick xmlns:r="http://schemas.openxmlformats.org/officeDocument/2006/relationships" r:id="rId2"/>
          <a:extLst>
            <a:ext uri="{FF2B5EF4-FFF2-40B4-BE49-F238E27FC236}">
              <a16:creationId xmlns:a16="http://schemas.microsoft.com/office/drawing/2014/main" id="{855F21FC-EF8A-4F6C-A6C0-4927B4756C57}"/>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63" name="Rectangle 62">
          <a:hlinkClick xmlns:r="http://schemas.openxmlformats.org/officeDocument/2006/relationships" r:id="rId2"/>
          <a:extLst>
            <a:ext uri="{FF2B5EF4-FFF2-40B4-BE49-F238E27FC236}">
              <a16:creationId xmlns:a16="http://schemas.microsoft.com/office/drawing/2014/main" id="{6BDE19F1-6E34-4FF5-B1CD-8892E786446F}"/>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64" name="Rectangle 63">
          <a:hlinkClick xmlns:r="http://schemas.openxmlformats.org/officeDocument/2006/relationships" r:id="rId2"/>
          <a:extLst>
            <a:ext uri="{FF2B5EF4-FFF2-40B4-BE49-F238E27FC236}">
              <a16:creationId xmlns:a16="http://schemas.microsoft.com/office/drawing/2014/main" id="{8C6F7EDB-AC6F-44E6-B903-FA20C11A87A2}"/>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20</xdr:row>
      <xdr:rowOff>387351</xdr:rowOff>
    </xdr:from>
    <xdr:to>
      <xdr:col>9</xdr:col>
      <xdr:colOff>2901950</xdr:colOff>
      <xdr:row>20</xdr:row>
      <xdr:rowOff>723901</xdr:rowOff>
    </xdr:to>
    <xdr:sp macro="" textlink="">
      <xdr:nvSpPr>
        <xdr:cNvPr id="65" name="Rectangle 64">
          <a:hlinkClick xmlns:r="http://schemas.openxmlformats.org/officeDocument/2006/relationships" r:id="rId3"/>
          <a:extLst>
            <a:ext uri="{FF2B5EF4-FFF2-40B4-BE49-F238E27FC236}">
              <a16:creationId xmlns:a16="http://schemas.microsoft.com/office/drawing/2014/main" id="{2D099B39-44F8-4340-8C08-23314C76FF6E}"/>
            </a:ext>
          </a:extLst>
        </xdr:cNvPr>
        <xdr:cNvSpPr/>
      </xdr:nvSpPr>
      <xdr:spPr>
        <a:xfrm>
          <a:off x="9074150" y="8705851"/>
          <a:ext cx="28987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21</xdr:row>
      <xdr:rowOff>447675</xdr:rowOff>
    </xdr:from>
    <xdr:to>
      <xdr:col>9</xdr:col>
      <xdr:colOff>2828925</xdr:colOff>
      <xdr:row>21</xdr:row>
      <xdr:rowOff>600075</xdr:rowOff>
    </xdr:to>
    <xdr:sp macro="" textlink="">
      <xdr:nvSpPr>
        <xdr:cNvPr id="66" name="Rectangle 65">
          <a:hlinkClick xmlns:r="http://schemas.openxmlformats.org/officeDocument/2006/relationships" r:id="rId1"/>
          <a:extLst>
            <a:ext uri="{FF2B5EF4-FFF2-40B4-BE49-F238E27FC236}">
              <a16:creationId xmlns:a16="http://schemas.microsoft.com/office/drawing/2014/main" id="{E31405ED-C63A-4B82-BAC9-9842C3D707E3}"/>
            </a:ext>
          </a:extLst>
        </xdr:cNvPr>
        <xdr:cNvSpPr/>
      </xdr:nvSpPr>
      <xdr:spPr>
        <a:xfrm>
          <a:off x="9067800" y="946467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67" name="Rectangle 66">
          <a:hlinkClick xmlns:r="http://schemas.openxmlformats.org/officeDocument/2006/relationships" r:id="rId3"/>
          <a:extLst>
            <a:ext uri="{FF2B5EF4-FFF2-40B4-BE49-F238E27FC236}">
              <a16:creationId xmlns:a16="http://schemas.microsoft.com/office/drawing/2014/main" id="{E610C22D-286E-4B8A-80E6-947E5452E7DD}"/>
            </a:ext>
          </a:extLst>
        </xdr:cNvPr>
        <xdr:cNvSpPr/>
      </xdr:nvSpPr>
      <xdr:spPr>
        <a:xfrm>
          <a:off x="9074150" y="9410701"/>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21</xdr:row>
      <xdr:rowOff>12698</xdr:rowOff>
    </xdr:from>
    <xdr:to>
      <xdr:col>9</xdr:col>
      <xdr:colOff>2914650</xdr:colOff>
      <xdr:row>21</xdr:row>
      <xdr:rowOff>380999</xdr:rowOff>
    </xdr:to>
    <xdr:sp macro="" textlink="">
      <xdr:nvSpPr>
        <xdr:cNvPr id="68" name="Rectangle 67">
          <a:hlinkClick xmlns:r="http://schemas.openxmlformats.org/officeDocument/2006/relationships" r:id="rId2"/>
          <a:extLst>
            <a:ext uri="{FF2B5EF4-FFF2-40B4-BE49-F238E27FC236}">
              <a16:creationId xmlns:a16="http://schemas.microsoft.com/office/drawing/2014/main" id="{5FF37AC9-82B8-486A-98E3-C452562FFB9C}"/>
            </a:ext>
          </a:extLst>
        </xdr:cNvPr>
        <xdr:cNvSpPr/>
      </xdr:nvSpPr>
      <xdr:spPr>
        <a:xfrm>
          <a:off x="9064625" y="90296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22</xdr:row>
      <xdr:rowOff>447675</xdr:rowOff>
    </xdr:from>
    <xdr:to>
      <xdr:col>9</xdr:col>
      <xdr:colOff>2828925</xdr:colOff>
      <xdr:row>22</xdr:row>
      <xdr:rowOff>600075</xdr:rowOff>
    </xdr:to>
    <xdr:sp macro="" textlink="">
      <xdr:nvSpPr>
        <xdr:cNvPr id="69" name="Rectangle 68">
          <a:hlinkClick xmlns:r="http://schemas.openxmlformats.org/officeDocument/2006/relationships" r:id="rId1"/>
          <a:extLst>
            <a:ext uri="{FF2B5EF4-FFF2-40B4-BE49-F238E27FC236}">
              <a16:creationId xmlns:a16="http://schemas.microsoft.com/office/drawing/2014/main" id="{48FA40D7-3914-4468-ABF7-8A4E0BA5F1CA}"/>
            </a:ext>
          </a:extLst>
        </xdr:cNvPr>
        <xdr:cNvSpPr/>
      </xdr:nvSpPr>
      <xdr:spPr>
        <a:xfrm>
          <a:off x="9067800" y="10179050"/>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70" name="Rectangle 69">
          <a:hlinkClick xmlns:r="http://schemas.openxmlformats.org/officeDocument/2006/relationships" r:id="rId3"/>
          <a:extLst>
            <a:ext uri="{FF2B5EF4-FFF2-40B4-BE49-F238E27FC236}">
              <a16:creationId xmlns:a16="http://schemas.microsoft.com/office/drawing/2014/main" id="{D3A07F37-5F93-48F2-94F6-D9347E280917}"/>
            </a:ext>
          </a:extLst>
        </xdr:cNvPr>
        <xdr:cNvSpPr/>
      </xdr:nvSpPr>
      <xdr:spPr>
        <a:xfrm>
          <a:off x="9074150" y="10125076"/>
          <a:ext cx="28987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71" name="Rectangle 70">
          <a:hlinkClick xmlns:r="http://schemas.openxmlformats.org/officeDocument/2006/relationships" r:id="rId2"/>
          <a:extLst>
            <a:ext uri="{FF2B5EF4-FFF2-40B4-BE49-F238E27FC236}">
              <a16:creationId xmlns:a16="http://schemas.microsoft.com/office/drawing/2014/main" id="{D6E1855A-949E-4860-933F-401AE620753A}"/>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2" name="Rectangle 71">
          <a:hlinkClick xmlns:r="http://schemas.openxmlformats.org/officeDocument/2006/relationships" r:id="rId3"/>
          <a:extLst>
            <a:ext uri="{FF2B5EF4-FFF2-40B4-BE49-F238E27FC236}">
              <a16:creationId xmlns:a16="http://schemas.microsoft.com/office/drawing/2014/main" id="{E382EA9E-D8C3-43E4-8E1C-EF1AD1CE8502}"/>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3" name="Rectangle 72">
          <a:hlinkClick xmlns:r="http://schemas.openxmlformats.org/officeDocument/2006/relationships" r:id="rId3"/>
          <a:extLst>
            <a:ext uri="{FF2B5EF4-FFF2-40B4-BE49-F238E27FC236}">
              <a16:creationId xmlns:a16="http://schemas.microsoft.com/office/drawing/2014/main" id="{CE728137-AB95-433A-854E-275559B36520}"/>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74" name="Rectangle 73">
          <a:hlinkClick xmlns:r="http://schemas.openxmlformats.org/officeDocument/2006/relationships" r:id="rId3"/>
          <a:extLst>
            <a:ext uri="{FF2B5EF4-FFF2-40B4-BE49-F238E27FC236}">
              <a16:creationId xmlns:a16="http://schemas.microsoft.com/office/drawing/2014/main" id="{BF8BE79B-83D1-4F5D-A844-475107126265}"/>
            </a:ext>
          </a:extLst>
        </xdr:cNvPr>
        <xdr:cNvSpPr/>
      </xdr:nvSpPr>
      <xdr:spPr>
        <a:xfrm>
          <a:off x="9074150" y="10125076"/>
          <a:ext cx="28987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5" name="Rectangle 74">
          <a:hlinkClick xmlns:r="http://schemas.openxmlformats.org/officeDocument/2006/relationships" r:id="rId3"/>
          <a:extLst>
            <a:ext uri="{FF2B5EF4-FFF2-40B4-BE49-F238E27FC236}">
              <a16:creationId xmlns:a16="http://schemas.microsoft.com/office/drawing/2014/main" id="{496C53A4-2C69-4C0C-9937-E3F27F205FD4}"/>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6" name="Rectangle 75">
          <a:hlinkClick xmlns:r="http://schemas.openxmlformats.org/officeDocument/2006/relationships" r:id="rId3"/>
          <a:extLst>
            <a:ext uri="{FF2B5EF4-FFF2-40B4-BE49-F238E27FC236}">
              <a16:creationId xmlns:a16="http://schemas.microsoft.com/office/drawing/2014/main" id="{25386CB9-B4F9-4416-A439-0378E6557CC7}"/>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77" name="Rectangle 76">
          <a:hlinkClick xmlns:r="http://schemas.openxmlformats.org/officeDocument/2006/relationships" r:id="rId2"/>
          <a:extLst>
            <a:ext uri="{FF2B5EF4-FFF2-40B4-BE49-F238E27FC236}">
              <a16:creationId xmlns:a16="http://schemas.microsoft.com/office/drawing/2014/main" id="{C2EEC15B-D93E-44F9-98FE-86BCF1A8E35F}"/>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78" name="Rectangle 77">
          <a:hlinkClick xmlns:r="http://schemas.openxmlformats.org/officeDocument/2006/relationships" r:id="rId2"/>
          <a:extLst>
            <a:ext uri="{FF2B5EF4-FFF2-40B4-BE49-F238E27FC236}">
              <a16:creationId xmlns:a16="http://schemas.microsoft.com/office/drawing/2014/main" id="{D368F62B-4909-4310-A2AF-BC94386856C2}"/>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79" name="Rectangle 78">
          <a:hlinkClick xmlns:r="http://schemas.openxmlformats.org/officeDocument/2006/relationships" r:id="rId2"/>
          <a:extLst>
            <a:ext uri="{FF2B5EF4-FFF2-40B4-BE49-F238E27FC236}">
              <a16:creationId xmlns:a16="http://schemas.microsoft.com/office/drawing/2014/main" id="{D96AAB09-468A-4661-BBD5-FBEAF5DE54F2}"/>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80" name="Rectangle 79">
          <a:hlinkClick xmlns:r="http://schemas.openxmlformats.org/officeDocument/2006/relationships" r:id="rId3"/>
          <a:extLst>
            <a:ext uri="{FF2B5EF4-FFF2-40B4-BE49-F238E27FC236}">
              <a16:creationId xmlns:a16="http://schemas.microsoft.com/office/drawing/2014/main" id="{D30BFFED-BAC3-42F5-A35A-2ADF7828B601}"/>
            </a:ext>
          </a:extLst>
        </xdr:cNvPr>
        <xdr:cNvSpPr/>
      </xdr:nvSpPr>
      <xdr:spPr>
        <a:xfrm>
          <a:off x="9074150" y="115824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23</xdr:row>
      <xdr:rowOff>447675</xdr:rowOff>
    </xdr:from>
    <xdr:to>
      <xdr:col>9</xdr:col>
      <xdr:colOff>2828925</xdr:colOff>
      <xdr:row>23</xdr:row>
      <xdr:rowOff>600075</xdr:rowOff>
    </xdr:to>
    <xdr:sp macro="" textlink="">
      <xdr:nvSpPr>
        <xdr:cNvPr id="81" name="Rectangle 80">
          <a:hlinkClick xmlns:r="http://schemas.openxmlformats.org/officeDocument/2006/relationships" r:id="rId1"/>
          <a:extLst>
            <a:ext uri="{FF2B5EF4-FFF2-40B4-BE49-F238E27FC236}">
              <a16:creationId xmlns:a16="http://schemas.microsoft.com/office/drawing/2014/main" id="{DBBE0DA2-DCF0-4F09-B9E8-59D6850261E8}"/>
            </a:ext>
          </a:extLst>
        </xdr:cNvPr>
        <xdr:cNvSpPr/>
      </xdr:nvSpPr>
      <xdr:spPr>
        <a:xfrm>
          <a:off x="9067800" y="1218882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387351</xdr:rowOff>
    </xdr:from>
    <xdr:to>
      <xdr:col>9</xdr:col>
      <xdr:colOff>2901950</xdr:colOff>
      <xdr:row>23</xdr:row>
      <xdr:rowOff>723901</xdr:rowOff>
    </xdr:to>
    <xdr:sp macro="" textlink="">
      <xdr:nvSpPr>
        <xdr:cNvPr id="82" name="Rectangle 81">
          <a:hlinkClick xmlns:r="http://schemas.openxmlformats.org/officeDocument/2006/relationships" r:id="rId3"/>
          <a:extLst>
            <a:ext uri="{FF2B5EF4-FFF2-40B4-BE49-F238E27FC236}">
              <a16:creationId xmlns:a16="http://schemas.microsoft.com/office/drawing/2014/main" id="{F30D859D-51FD-4FE9-9A99-3B51F97AAA6D}"/>
            </a:ext>
          </a:extLst>
        </xdr:cNvPr>
        <xdr:cNvSpPr/>
      </xdr:nvSpPr>
      <xdr:spPr>
        <a:xfrm>
          <a:off x="9074150" y="1213485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83" name="Rectangle 82">
          <a:hlinkClick xmlns:r="http://schemas.openxmlformats.org/officeDocument/2006/relationships" r:id="rId2"/>
          <a:extLst>
            <a:ext uri="{FF2B5EF4-FFF2-40B4-BE49-F238E27FC236}">
              <a16:creationId xmlns:a16="http://schemas.microsoft.com/office/drawing/2014/main" id="{BF222B12-B1DF-4467-91A6-76CF049079F6}"/>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4" name="Rectangle 83">
          <a:hlinkClick xmlns:r="http://schemas.openxmlformats.org/officeDocument/2006/relationships" r:id="rId3"/>
          <a:extLst>
            <a:ext uri="{FF2B5EF4-FFF2-40B4-BE49-F238E27FC236}">
              <a16:creationId xmlns:a16="http://schemas.microsoft.com/office/drawing/2014/main" id="{6BB0963D-9894-43AA-9D5E-C560A5429683}"/>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5" name="Rectangle 84">
          <a:hlinkClick xmlns:r="http://schemas.openxmlformats.org/officeDocument/2006/relationships" r:id="rId3"/>
          <a:extLst>
            <a:ext uri="{FF2B5EF4-FFF2-40B4-BE49-F238E27FC236}">
              <a16:creationId xmlns:a16="http://schemas.microsoft.com/office/drawing/2014/main" id="{159742BA-A97E-46EA-A31A-E5F395ED2B30}"/>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387351</xdr:rowOff>
    </xdr:from>
    <xdr:to>
      <xdr:col>9</xdr:col>
      <xdr:colOff>2901950</xdr:colOff>
      <xdr:row>23</xdr:row>
      <xdr:rowOff>723901</xdr:rowOff>
    </xdr:to>
    <xdr:sp macro="" textlink="">
      <xdr:nvSpPr>
        <xdr:cNvPr id="86" name="Rectangle 85">
          <a:hlinkClick xmlns:r="http://schemas.openxmlformats.org/officeDocument/2006/relationships" r:id="rId3"/>
          <a:extLst>
            <a:ext uri="{FF2B5EF4-FFF2-40B4-BE49-F238E27FC236}">
              <a16:creationId xmlns:a16="http://schemas.microsoft.com/office/drawing/2014/main" id="{542493AB-B9F8-40B7-9EAE-1A6E89E6F1E9}"/>
            </a:ext>
          </a:extLst>
        </xdr:cNvPr>
        <xdr:cNvSpPr/>
      </xdr:nvSpPr>
      <xdr:spPr>
        <a:xfrm>
          <a:off x="9074150" y="1213485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7" name="Rectangle 86">
          <a:hlinkClick xmlns:r="http://schemas.openxmlformats.org/officeDocument/2006/relationships" r:id="rId3"/>
          <a:extLst>
            <a:ext uri="{FF2B5EF4-FFF2-40B4-BE49-F238E27FC236}">
              <a16:creationId xmlns:a16="http://schemas.microsoft.com/office/drawing/2014/main" id="{BF1E0765-FE41-4E9C-B2B1-2ED087350AD2}"/>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8" name="Rectangle 87">
          <a:hlinkClick xmlns:r="http://schemas.openxmlformats.org/officeDocument/2006/relationships" r:id="rId3"/>
          <a:extLst>
            <a:ext uri="{FF2B5EF4-FFF2-40B4-BE49-F238E27FC236}">
              <a16:creationId xmlns:a16="http://schemas.microsoft.com/office/drawing/2014/main" id="{870ECA35-729C-47F6-BE54-981B6CE91EAD}"/>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20</xdr:row>
      <xdr:rowOff>387351</xdr:rowOff>
    </xdr:from>
    <xdr:to>
      <xdr:col>9</xdr:col>
      <xdr:colOff>2901950</xdr:colOff>
      <xdr:row>20</xdr:row>
      <xdr:rowOff>723901</xdr:rowOff>
    </xdr:to>
    <xdr:sp macro="" textlink="">
      <xdr:nvSpPr>
        <xdr:cNvPr id="89" name="Rectangle 88">
          <a:hlinkClick xmlns:r="http://schemas.openxmlformats.org/officeDocument/2006/relationships" r:id="rId3"/>
          <a:extLst>
            <a:ext uri="{FF2B5EF4-FFF2-40B4-BE49-F238E27FC236}">
              <a16:creationId xmlns:a16="http://schemas.microsoft.com/office/drawing/2014/main" id="{28EBEF20-F2DB-4E2E-836C-E775A506A887}"/>
            </a:ext>
          </a:extLst>
        </xdr:cNvPr>
        <xdr:cNvSpPr/>
      </xdr:nvSpPr>
      <xdr:spPr>
        <a:xfrm>
          <a:off x="14284325" y="37661851"/>
          <a:ext cx="28987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90" name="Rectangle 89">
          <a:hlinkClick xmlns:r="http://schemas.openxmlformats.org/officeDocument/2006/relationships" r:id="rId3"/>
          <a:extLst>
            <a:ext uri="{FF2B5EF4-FFF2-40B4-BE49-F238E27FC236}">
              <a16:creationId xmlns:a16="http://schemas.microsoft.com/office/drawing/2014/main" id="{F6B6A7F2-E6FB-4B07-A36A-B337DFE9B497}"/>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91" name="Rectangle 90">
          <a:hlinkClick xmlns:r="http://schemas.openxmlformats.org/officeDocument/2006/relationships" r:id="rId2"/>
          <a:extLst>
            <a:ext uri="{FF2B5EF4-FFF2-40B4-BE49-F238E27FC236}">
              <a16:creationId xmlns:a16="http://schemas.microsoft.com/office/drawing/2014/main" id="{199B5DE7-48C3-467F-88C6-2344C94F8CCA}"/>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92" name="Rectangle 91">
          <a:hlinkClick xmlns:r="http://schemas.openxmlformats.org/officeDocument/2006/relationships" r:id="rId3"/>
          <a:extLst>
            <a:ext uri="{FF2B5EF4-FFF2-40B4-BE49-F238E27FC236}">
              <a16:creationId xmlns:a16="http://schemas.microsoft.com/office/drawing/2014/main" id="{3F47B44D-0C0C-4152-ACF1-D2A188994D28}"/>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22</xdr:row>
      <xdr:rowOff>447675</xdr:rowOff>
    </xdr:from>
    <xdr:to>
      <xdr:col>9</xdr:col>
      <xdr:colOff>2828925</xdr:colOff>
      <xdr:row>22</xdr:row>
      <xdr:rowOff>600075</xdr:rowOff>
    </xdr:to>
    <xdr:sp macro="" textlink="">
      <xdr:nvSpPr>
        <xdr:cNvPr id="93" name="Rectangle 92">
          <a:hlinkClick xmlns:r="http://schemas.openxmlformats.org/officeDocument/2006/relationships" r:id="rId1"/>
          <a:extLst>
            <a:ext uri="{FF2B5EF4-FFF2-40B4-BE49-F238E27FC236}">
              <a16:creationId xmlns:a16="http://schemas.microsoft.com/office/drawing/2014/main" id="{92ED0033-C2F3-4161-B485-E7585939D0F1}"/>
            </a:ext>
          </a:extLst>
        </xdr:cNvPr>
        <xdr:cNvSpPr/>
      </xdr:nvSpPr>
      <xdr:spPr>
        <a:xfrm>
          <a:off x="9067800" y="11560175"/>
          <a:ext cx="2825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94" name="Rectangle 93">
          <a:hlinkClick xmlns:r="http://schemas.openxmlformats.org/officeDocument/2006/relationships" r:id="rId2"/>
          <a:extLst>
            <a:ext uri="{FF2B5EF4-FFF2-40B4-BE49-F238E27FC236}">
              <a16:creationId xmlns:a16="http://schemas.microsoft.com/office/drawing/2014/main" id="{3B6E0B60-2536-4BE2-97C5-986F4FFB5575}"/>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95" name="Rectangle 94">
          <a:hlinkClick xmlns:r="http://schemas.openxmlformats.org/officeDocument/2006/relationships" r:id="rId3"/>
          <a:extLst>
            <a:ext uri="{FF2B5EF4-FFF2-40B4-BE49-F238E27FC236}">
              <a16:creationId xmlns:a16="http://schemas.microsoft.com/office/drawing/2014/main" id="{E001000C-2E00-4DF5-B299-62C2771D191A}"/>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96" name="Rectangle 95">
          <a:hlinkClick xmlns:r="http://schemas.openxmlformats.org/officeDocument/2006/relationships" r:id="rId3"/>
          <a:extLst>
            <a:ext uri="{FF2B5EF4-FFF2-40B4-BE49-F238E27FC236}">
              <a16:creationId xmlns:a16="http://schemas.microsoft.com/office/drawing/2014/main" id="{D303BD70-AA19-404D-9CB3-02A0F5EC6465}"/>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97" name="Rectangle 96">
          <a:hlinkClick xmlns:r="http://schemas.openxmlformats.org/officeDocument/2006/relationships" r:id="rId2"/>
          <a:extLst>
            <a:ext uri="{FF2B5EF4-FFF2-40B4-BE49-F238E27FC236}">
              <a16:creationId xmlns:a16="http://schemas.microsoft.com/office/drawing/2014/main" id="{DAAA817C-91BE-4AC3-B6F3-73E3F94617CF}"/>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98" name="Rectangle 97">
          <a:hlinkClick xmlns:r="http://schemas.openxmlformats.org/officeDocument/2006/relationships" r:id="rId3"/>
          <a:extLst>
            <a:ext uri="{FF2B5EF4-FFF2-40B4-BE49-F238E27FC236}">
              <a16:creationId xmlns:a16="http://schemas.microsoft.com/office/drawing/2014/main" id="{FFCC41C6-AC31-4DC3-B8B9-E84E96728A07}"/>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23</xdr:row>
      <xdr:rowOff>447675</xdr:rowOff>
    </xdr:from>
    <xdr:to>
      <xdr:col>9</xdr:col>
      <xdr:colOff>2828925</xdr:colOff>
      <xdr:row>23</xdr:row>
      <xdr:rowOff>600075</xdr:rowOff>
    </xdr:to>
    <xdr:sp macro="" textlink="">
      <xdr:nvSpPr>
        <xdr:cNvPr id="99" name="Rectangle 98">
          <a:hlinkClick xmlns:r="http://schemas.openxmlformats.org/officeDocument/2006/relationships" r:id="rId1"/>
          <a:extLst>
            <a:ext uri="{FF2B5EF4-FFF2-40B4-BE49-F238E27FC236}">
              <a16:creationId xmlns:a16="http://schemas.microsoft.com/office/drawing/2014/main" id="{BCA9B32F-109B-44AB-950A-1A536AF52126}"/>
            </a:ext>
          </a:extLst>
        </xdr:cNvPr>
        <xdr:cNvSpPr/>
      </xdr:nvSpPr>
      <xdr:spPr>
        <a:xfrm>
          <a:off x="9067800" y="11560175"/>
          <a:ext cx="2825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100" name="Rectangle 99">
          <a:hlinkClick xmlns:r="http://schemas.openxmlformats.org/officeDocument/2006/relationships" r:id="rId2"/>
          <a:extLst>
            <a:ext uri="{FF2B5EF4-FFF2-40B4-BE49-F238E27FC236}">
              <a16:creationId xmlns:a16="http://schemas.microsoft.com/office/drawing/2014/main" id="{3AA3733D-E667-4E29-BF56-1F8FE9C0F562}"/>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101" name="Rectangle 100">
          <a:hlinkClick xmlns:r="http://schemas.openxmlformats.org/officeDocument/2006/relationships" r:id="rId3"/>
          <a:extLst>
            <a:ext uri="{FF2B5EF4-FFF2-40B4-BE49-F238E27FC236}">
              <a16:creationId xmlns:a16="http://schemas.microsoft.com/office/drawing/2014/main" id="{E9395DAF-35C9-48B1-9A3E-F72797731C77}"/>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2" name="Rectangle 101">
          <a:hlinkClick xmlns:r="http://schemas.openxmlformats.org/officeDocument/2006/relationships" r:id="rId3"/>
          <a:extLst>
            <a:ext uri="{FF2B5EF4-FFF2-40B4-BE49-F238E27FC236}">
              <a16:creationId xmlns:a16="http://schemas.microsoft.com/office/drawing/2014/main" id="{E8FD4E87-09C9-475A-8101-8AD99DB70703}"/>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3" name="Rectangle 102">
          <a:hlinkClick xmlns:r="http://schemas.openxmlformats.org/officeDocument/2006/relationships" r:id="rId3"/>
          <a:extLst>
            <a:ext uri="{FF2B5EF4-FFF2-40B4-BE49-F238E27FC236}">
              <a16:creationId xmlns:a16="http://schemas.microsoft.com/office/drawing/2014/main" id="{B795C639-3D6A-4D95-A04A-8C333DB82E73}"/>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4" name="Rectangle 103">
          <a:hlinkClick xmlns:r="http://schemas.openxmlformats.org/officeDocument/2006/relationships" r:id="rId3"/>
          <a:extLst>
            <a:ext uri="{FF2B5EF4-FFF2-40B4-BE49-F238E27FC236}">
              <a16:creationId xmlns:a16="http://schemas.microsoft.com/office/drawing/2014/main" id="{100A6860-E077-4C80-815B-81A0E6DDCACB}"/>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5" name="Rectangle 104">
          <a:hlinkClick xmlns:r="http://schemas.openxmlformats.org/officeDocument/2006/relationships" r:id="rId3"/>
          <a:extLst>
            <a:ext uri="{FF2B5EF4-FFF2-40B4-BE49-F238E27FC236}">
              <a16:creationId xmlns:a16="http://schemas.microsoft.com/office/drawing/2014/main" id="{09E4530A-9F37-44F7-82C1-51CF45B1F4C3}"/>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34</xdr:row>
      <xdr:rowOff>381000</xdr:rowOff>
    </xdr:from>
    <xdr:to>
      <xdr:col>11</xdr:col>
      <xdr:colOff>1619250</xdr:colOff>
      <xdr:row>35</xdr:row>
      <xdr:rowOff>0</xdr:rowOff>
    </xdr:to>
    <xdr:sp macro="" textlink="">
      <xdr:nvSpPr>
        <xdr:cNvPr id="23" name="Rectangle 22">
          <a:hlinkClick xmlns:r="http://schemas.openxmlformats.org/officeDocument/2006/relationships" r:id="rId4"/>
          <a:extLst>
            <a:ext uri="{FF2B5EF4-FFF2-40B4-BE49-F238E27FC236}">
              <a16:creationId xmlns:a16="http://schemas.microsoft.com/office/drawing/2014/main" id="{E9B0B48C-3170-4D5B-9E4E-BD99F594FC54}"/>
            </a:ext>
          </a:extLst>
        </xdr:cNvPr>
        <xdr:cNvSpPr/>
      </xdr:nvSpPr>
      <xdr:spPr>
        <a:xfrm>
          <a:off x="13896975" y="15859125"/>
          <a:ext cx="16192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838200</xdr:colOff>
      <xdr:row>4</xdr:row>
      <xdr:rowOff>371475</xdr:rowOff>
    </xdr:from>
    <xdr:to>
      <xdr:col>6</xdr:col>
      <xdr:colOff>1454150</xdr:colOff>
      <xdr:row>5</xdr:row>
      <xdr:rowOff>158750</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3D614F64-D826-47DD-A051-2B6AC47AEA70}"/>
            </a:ext>
          </a:extLst>
        </xdr:cNvPr>
        <xdr:cNvSpPr/>
      </xdr:nvSpPr>
      <xdr:spPr>
        <a:xfrm>
          <a:off x="5343525" y="1228725"/>
          <a:ext cx="23114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324554</xdr:colOff>
      <xdr:row>43</xdr:row>
      <xdr:rowOff>25399</xdr:rowOff>
    </xdr:from>
    <xdr:to>
      <xdr:col>8</xdr:col>
      <xdr:colOff>529166</xdr:colOff>
      <xdr:row>58</xdr:row>
      <xdr:rowOff>122766</xdr:rowOff>
    </xdr:to>
    <xdr:graphicFrame macro="">
      <xdr:nvGraphicFramePr>
        <xdr:cNvPr id="5" name="Chart 4">
          <a:extLst>
            <a:ext uri="{FF2B5EF4-FFF2-40B4-BE49-F238E27FC236}">
              <a16:creationId xmlns:a16="http://schemas.microsoft.com/office/drawing/2014/main" id="{4041F7BC-5F0C-43B1-B0F8-ED63CC12FD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204611</xdr:colOff>
      <xdr:row>39</xdr:row>
      <xdr:rowOff>74788</xdr:rowOff>
    </xdr:from>
    <xdr:to>
      <xdr:col>1</xdr:col>
      <xdr:colOff>4776611</xdr:colOff>
      <xdr:row>54</xdr:row>
      <xdr:rowOff>172155</xdr:rowOff>
    </xdr:to>
    <xdr:graphicFrame macro="">
      <xdr:nvGraphicFramePr>
        <xdr:cNvPr id="4" name="Chart 3">
          <a:extLst>
            <a:ext uri="{FF2B5EF4-FFF2-40B4-BE49-F238E27FC236}">
              <a16:creationId xmlns:a16="http://schemas.microsoft.com/office/drawing/2014/main" id="{ADA4E631-9386-4509-8C46-052197247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324554</xdr:colOff>
      <xdr:row>41</xdr:row>
      <xdr:rowOff>25399</xdr:rowOff>
    </xdr:from>
    <xdr:to>
      <xdr:col>8</xdr:col>
      <xdr:colOff>529166</xdr:colOff>
      <xdr:row>56</xdr:row>
      <xdr:rowOff>122766</xdr:rowOff>
    </xdr:to>
    <xdr:graphicFrame macro="">
      <xdr:nvGraphicFramePr>
        <xdr:cNvPr id="6" name="Chart 5">
          <a:extLst>
            <a:ext uri="{FF2B5EF4-FFF2-40B4-BE49-F238E27FC236}">
              <a16:creationId xmlns:a16="http://schemas.microsoft.com/office/drawing/2014/main" id="{439EEEAB-CDAA-4907-9B54-A9589024C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6197600</xdr:colOff>
      <xdr:row>28</xdr:row>
      <xdr:rowOff>146050</xdr:rowOff>
    </xdr:from>
    <xdr:to>
      <xdr:col>2</xdr:col>
      <xdr:colOff>107950</xdr:colOff>
      <xdr:row>43</xdr:row>
      <xdr:rowOff>127000</xdr:rowOff>
    </xdr:to>
    <xdr:graphicFrame macro="">
      <xdr:nvGraphicFramePr>
        <xdr:cNvPr id="3" name="Chart 2">
          <a:extLst>
            <a:ext uri="{FF2B5EF4-FFF2-40B4-BE49-F238E27FC236}">
              <a16:creationId xmlns:a16="http://schemas.microsoft.com/office/drawing/2014/main" id="{6D42F7E3-7DC5-4CE0-A267-EC1D38FB8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637010</xdr:colOff>
      <xdr:row>9</xdr:row>
      <xdr:rowOff>161925</xdr:rowOff>
    </xdr:from>
    <xdr:to>
      <xdr:col>21</xdr:col>
      <xdr:colOff>107933</xdr:colOff>
      <xdr:row>29</xdr:row>
      <xdr:rowOff>95387</xdr:rowOff>
    </xdr:to>
    <xdr:graphicFrame macro="">
      <xdr:nvGraphicFramePr>
        <xdr:cNvPr id="3" name="Chart 2">
          <a:extLst>
            <a:ext uri="{FF2B5EF4-FFF2-40B4-BE49-F238E27FC236}">
              <a16:creationId xmlns:a16="http://schemas.microsoft.com/office/drawing/2014/main" id="{CBE4C49B-13A1-4448-8311-AEF20AEB6A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114300</xdr:colOff>
      <xdr:row>10</xdr:row>
      <xdr:rowOff>0</xdr:rowOff>
    </xdr:from>
    <xdr:to>
      <xdr:col>10</xdr:col>
      <xdr:colOff>276225</xdr:colOff>
      <xdr:row>29</xdr:row>
      <xdr:rowOff>76200</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2E32A254-07F1-4EBA-9DDF-3327AA364BE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385060" y="2095500"/>
              <a:ext cx="5913120" cy="36957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238123</xdr:colOff>
      <xdr:row>10</xdr:row>
      <xdr:rowOff>95251</xdr:rowOff>
    </xdr:from>
    <xdr:to>
      <xdr:col>1</xdr:col>
      <xdr:colOff>4352923</xdr:colOff>
      <xdr:row>10</xdr:row>
      <xdr:rowOff>1555116</xdr:rowOff>
    </xdr:to>
    <xdr:sp macro="" textlink="">
      <xdr:nvSpPr>
        <xdr:cNvPr id="2" name="Rectangle 1">
          <a:extLst>
            <a:ext uri="{FF2B5EF4-FFF2-40B4-BE49-F238E27FC236}">
              <a16:creationId xmlns:a16="http://schemas.microsoft.com/office/drawing/2014/main" id="{5195EB83-661B-49EA-B03D-E50F52D7A25C}"/>
            </a:ext>
          </a:extLst>
        </xdr:cNvPr>
        <xdr:cNvSpPr/>
      </xdr:nvSpPr>
      <xdr:spPr>
        <a:xfrm>
          <a:off x="457198" y="3810001"/>
          <a:ext cx="4114800" cy="1459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2"/>
              </a:solidFill>
            </a:rPr>
            <a:t>Development</a:t>
          </a:r>
        </a:p>
        <a:p>
          <a:pPr algn="ctr"/>
          <a:r>
            <a:rPr lang="en-US" sz="1200" b="0">
              <a:solidFill>
                <a:schemeClr val="tx2"/>
              </a:solidFill>
            </a:rPr>
            <a:t>Costs associated</a:t>
          </a:r>
          <a:r>
            <a:rPr lang="en-US" sz="1200" b="0" baseline="0">
              <a:solidFill>
                <a:schemeClr val="tx2"/>
              </a:solidFill>
            </a:rPr>
            <a:t> with scoping and planning for implementation, including </a:t>
          </a:r>
          <a:r>
            <a:rPr lang="en-US" sz="1200" b="0">
              <a:solidFill>
                <a:schemeClr val="tx2"/>
              </a:solidFill>
            </a:rPr>
            <a:t>human resources, travel for meetings, workshops, requirements gathering, project management and overhead, and other direct and indirect costs.</a:t>
          </a:r>
        </a:p>
      </xdr:txBody>
    </xdr:sp>
    <xdr:clientData/>
  </xdr:twoCellAnchor>
  <xdr:twoCellAnchor>
    <xdr:from>
      <xdr:col>1</xdr:col>
      <xdr:colOff>5232399</xdr:colOff>
      <xdr:row>10</xdr:row>
      <xdr:rowOff>92076</xdr:rowOff>
    </xdr:from>
    <xdr:to>
      <xdr:col>1</xdr:col>
      <xdr:colOff>9347199</xdr:colOff>
      <xdr:row>10</xdr:row>
      <xdr:rowOff>1555116</xdr:rowOff>
    </xdr:to>
    <xdr:sp macro="" textlink="">
      <xdr:nvSpPr>
        <xdr:cNvPr id="3" name="Rectangle 2">
          <a:extLst>
            <a:ext uri="{FF2B5EF4-FFF2-40B4-BE49-F238E27FC236}">
              <a16:creationId xmlns:a16="http://schemas.microsoft.com/office/drawing/2014/main" id="{59D9E175-B269-4AE5-9B61-94E021DCC4BE}"/>
            </a:ext>
          </a:extLst>
        </xdr:cNvPr>
        <xdr:cNvSpPr/>
      </xdr:nvSpPr>
      <xdr:spPr>
        <a:xfrm>
          <a:off x="5451474" y="3806826"/>
          <a:ext cx="4114800" cy="146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2"/>
              </a:solidFill>
            </a:rPr>
            <a:t>Deployment</a:t>
          </a:r>
        </a:p>
        <a:p>
          <a:pPr algn="ctr"/>
          <a:r>
            <a:rPr lang="en-US" sz="1200" b="0">
              <a:solidFill>
                <a:schemeClr val="tx2"/>
              </a:solidFill>
            </a:rPr>
            <a:t>Costs associated</a:t>
          </a:r>
          <a:r>
            <a:rPr lang="en-US" sz="1200" b="0" baseline="0">
              <a:solidFill>
                <a:schemeClr val="tx2"/>
              </a:solidFill>
            </a:rPr>
            <a:t> with with deploying the solution to a set number of locations as the system is scaled. Includes one-time costs for equipment, infrastructure, new deployment training, implementation services, interoperability updates and system integrations, and further software development to address issues during the deployment time period.</a:t>
          </a:r>
          <a:endParaRPr lang="en-US" sz="1200" b="0">
            <a:solidFill>
              <a:schemeClr val="tx2"/>
            </a:solidFill>
          </a:endParaRPr>
        </a:p>
      </xdr:txBody>
    </xdr:sp>
    <xdr:clientData/>
  </xdr:twoCellAnchor>
  <xdr:twoCellAnchor>
    <xdr:from>
      <xdr:col>1</xdr:col>
      <xdr:colOff>10220326</xdr:colOff>
      <xdr:row>10</xdr:row>
      <xdr:rowOff>95251</xdr:rowOff>
    </xdr:from>
    <xdr:to>
      <xdr:col>1</xdr:col>
      <xdr:colOff>14335126</xdr:colOff>
      <xdr:row>10</xdr:row>
      <xdr:rowOff>1555116</xdr:rowOff>
    </xdr:to>
    <xdr:sp macro="" textlink="">
      <xdr:nvSpPr>
        <xdr:cNvPr id="4" name="Rectangle 3">
          <a:extLst>
            <a:ext uri="{FF2B5EF4-FFF2-40B4-BE49-F238E27FC236}">
              <a16:creationId xmlns:a16="http://schemas.microsoft.com/office/drawing/2014/main" id="{40A59DEB-247E-401A-B3A4-0FDEF9D57D55}"/>
            </a:ext>
          </a:extLst>
        </xdr:cNvPr>
        <xdr:cNvSpPr/>
      </xdr:nvSpPr>
      <xdr:spPr>
        <a:xfrm>
          <a:off x="10439401" y="3810001"/>
          <a:ext cx="4114800" cy="1459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2"/>
              </a:solidFill>
            </a:rPr>
            <a:t>Operations</a:t>
          </a:r>
        </a:p>
        <a:p>
          <a:pPr algn="ctr"/>
          <a:r>
            <a:rPr lang="en-US" sz="1200" b="0">
              <a:solidFill>
                <a:schemeClr val="tx2"/>
              </a:solidFill>
            </a:rPr>
            <a:t>Costs associated</a:t>
          </a:r>
          <a:r>
            <a:rPr lang="en-US" sz="1200" b="0" baseline="0">
              <a:solidFill>
                <a:schemeClr val="tx2"/>
              </a:solidFill>
            </a:rPr>
            <a:t> with the ongoing operation of a DHI. Includes the human resource costs to manage and operate a DHI, regular maintenance and replacement costs, data and voice service, licenses and subscriptions, recurrent or refresher training, helpdesk support, project management, governance, and monitoring and evaluation. </a:t>
          </a:r>
          <a:endParaRPr lang="en-US" sz="1200" b="0">
            <a:solidFill>
              <a:schemeClr val="tx2"/>
            </a:solidFill>
          </a:endParaRPr>
        </a:p>
      </xdr:txBody>
    </xdr:sp>
    <xdr:clientData/>
  </xdr:twoCellAnchor>
  <xdr:twoCellAnchor>
    <xdr:from>
      <xdr:col>1</xdr:col>
      <xdr:colOff>2066929</xdr:colOff>
      <xdr:row>10</xdr:row>
      <xdr:rowOff>1625599</xdr:rowOff>
    </xdr:from>
    <xdr:to>
      <xdr:col>1</xdr:col>
      <xdr:colOff>7531102</xdr:colOff>
      <xdr:row>12</xdr:row>
      <xdr:rowOff>98425</xdr:rowOff>
    </xdr:to>
    <xdr:sp macro="" textlink="">
      <xdr:nvSpPr>
        <xdr:cNvPr id="5" name="Left Brace 4">
          <a:extLst>
            <a:ext uri="{FF2B5EF4-FFF2-40B4-BE49-F238E27FC236}">
              <a16:creationId xmlns:a16="http://schemas.microsoft.com/office/drawing/2014/main" id="{0DD48DA7-DA57-4592-BFEB-8C18C123C0A1}"/>
            </a:ext>
          </a:extLst>
        </xdr:cNvPr>
        <xdr:cNvSpPr/>
      </xdr:nvSpPr>
      <xdr:spPr>
        <a:xfrm rot="16200000">
          <a:off x="4806953" y="3203575"/>
          <a:ext cx="288926" cy="5464173"/>
        </a:xfrm>
        <a:prstGeom prst="leftBrace">
          <a:avLst>
            <a:gd name="adj1" fmla="val 8333"/>
            <a:gd name="adj2" fmla="val 51843"/>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3911600</xdr:colOff>
      <xdr:row>12</xdr:row>
      <xdr:rowOff>104776</xdr:rowOff>
    </xdr:from>
    <xdr:to>
      <xdr:col>1</xdr:col>
      <xdr:colOff>5915025</xdr:colOff>
      <xdr:row>13</xdr:row>
      <xdr:rowOff>38100</xdr:rowOff>
    </xdr:to>
    <xdr:sp macro="" textlink="">
      <xdr:nvSpPr>
        <xdr:cNvPr id="6" name="TextBox 5">
          <a:extLst>
            <a:ext uri="{FF2B5EF4-FFF2-40B4-BE49-F238E27FC236}">
              <a16:creationId xmlns:a16="http://schemas.microsoft.com/office/drawing/2014/main" id="{2E11EC3B-C7A8-4A0C-8DAD-0C995A2C940D}"/>
            </a:ext>
          </a:extLst>
        </xdr:cNvPr>
        <xdr:cNvSpPr txBox="1"/>
      </xdr:nvSpPr>
      <xdr:spPr>
        <a:xfrm>
          <a:off x="4130675" y="5629276"/>
          <a:ext cx="2003425"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Custos de única vez </a:t>
          </a:r>
        </a:p>
      </xdr:txBody>
    </xdr:sp>
    <xdr:clientData/>
  </xdr:twoCellAnchor>
  <xdr:twoCellAnchor>
    <xdr:from>
      <xdr:col>1</xdr:col>
      <xdr:colOff>10763250</xdr:colOff>
      <xdr:row>10</xdr:row>
      <xdr:rowOff>1625599</xdr:rowOff>
    </xdr:from>
    <xdr:to>
      <xdr:col>1</xdr:col>
      <xdr:colOff>13896975</xdr:colOff>
      <xdr:row>12</xdr:row>
      <xdr:rowOff>107950</xdr:rowOff>
    </xdr:to>
    <xdr:sp macro="" textlink="">
      <xdr:nvSpPr>
        <xdr:cNvPr id="7" name="Left Brace 6">
          <a:extLst>
            <a:ext uri="{FF2B5EF4-FFF2-40B4-BE49-F238E27FC236}">
              <a16:creationId xmlns:a16="http://schemas.microsoft.com/office/drawing/2014/main" id="{C18E92E8-83D3-4A02-A4AD-16DB1B6BB319}"/>
            </a:ext>
          </a:extLst>
        </xdr:cNvPr>
        <xdr:cNvSpPr/>
      </xdr:nvSpPr>
      <xdr:spPr>
        <a:xfrm rot="16200000">
          <a:off x="12333287" y="4373562"/>
          <a:ext cx="298451" cy="3133725"/>
        </a:xfrm>
        <a:prstGeom prst="leftBrace">
          <a:avLst>
            <a:gd name="adj1" fmla="val 8333"/>
            <a:gd name="adj2" fmla="val 51843"/>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11410950</xdr:colOff>
      <xdr:row>12</xdr:row>
      <xdr:rowOff>130178</xdr:rowOff>
    </xdr:from>
    <xdr:to>
      <xdr:col>1</xdr:col>
      <xdr:colOff>13457425</xdr:colOff>
      <xdr:row>13</xdr:row>
      <xdr:rowOff>47625</xdr:rowOff>
    </xdr:to>
    <xdr:sp macro="" textlink="">
      <xdr:nvSpPr>
        <xdr:cNvPr id="8" name="TextBox 7">
          <a:extLst>
            <a:ext uri="{FF2B5EF4-FFF2-40B4-BE49-F238E27FC236}">
              <a16:creationId xmlns:a16="http://schemas.microsoft.com/office/drawing/2014/main" id="{934EE2A1-8156-4EE1-AFCC-2725E4410A53}"/>
            </a:ext>
          </a:extLst>
        </xdr:cNvPr>
        <xdr:cNvSpPr txBox="1"/>
      </xdr:nvSpPr>
      <xdr:spPr>
        <a:xfrm>
          <a:off x="11630025" y="5654678"/>
          <a:ext cx="2046475" cy="23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tx1"/>
              </a:solidFill>
            </a:rPr>
            <a:t>Custos recorrentes</a:t>
          </a:r>
        </a:p>
      </xdr:txBody>
    </xdr:sp>
    <xdr:clientData/>
  </xdr:twoCellAnchor>
  <xdr:twoCellAnchor>
    <xdr:from>
      <xdr:col>1</xdr:col>
      <xdr:colOff>0</xdr:colOff>
      <xdr:row>17</xdr:row>
      <xdr:rowOff>178432</xdr:rowOff>
    </xdr:from>
    <xdr:to>
      <xdr:col>1</xdr:col>
      <xdr:colOff>2755900</xdr:colOff>
      <xdr:row>18</xdr:row>
      <xdr:rowOff>1842588</xdr:rowOff>
    </xdr:to>
    <xdr:sp macro="" textlink="">
      <xdr:nvSpPr>
        <xdr:cNvPr id="12" name="Rectangle 11">
          <a:extLst>
            <a:ext uri="{FF2B5EF4-FFF2-40B4-BE49-F238E27FC236}">
              <a16:creationId xmlns:a16="http://schemas.microsoft.com/office/drawing/2014/main" id="{CBD6C052-20D8-48C0-9A35-A683CF742722}"/>
            </a:ext>
          </a:extLst>
        </xdr:cNvPr>
        <xdr:cNvSpPr/>
      </xdr:nvSpPr>
      <xdr:spPr>
        <a:xfrm>
          <a:off x="152400" y="6985632"/>
          <a:ext cx="2755900" cy="18571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pt-PT" sz="1100" b="1">
              <a:solidFill>
                <a:schemeClr val="tx2"/>
              </a:solidFill>
              <a:effectLst/>
              <a:latin typeface="+mn-lt"/>
              <a:ea typeface="+mn-ea"/>
              <a:cs typeface="+mn-cs"/>
            </a:rPr>
            <a:t>Guia do Utilizador</a:t>
          </a:r>
          <a:endParaRPr lang="en-US" sz="1100" b="1">
            <a:solidFill>
              <a:schemeClr val="tx2"/>
            </a:solidFill>
            <a:effectLst/>
            <a:latin typeface="+mn-lt"/>
            <a:ea typeface="+mn-ea"/>
            <a:cs typeface="+mn-cs"/>
          </a:endParaRPr>
        </a:p>
        <a:p>
          <a:pPr algn="ctr"/>
          <a:r>
            <a:rPr lang="pt-PT" sz="1100">
              <a:solidFill>
                <a:schemeClr val="tx2"/>
              </a:solidFill>
              <a:effectLst/>
              <a:latin typeface="+mn-lt"/>
              <a:ea typeface="+mn-ea"/>
              <a:cs typeface="+mn-cs"/>
            </a:rPr>
            <a:t>O separador Guia do Utilizador tem informações gerais sobre a ferramenta TCO. Inclui uma visão geral dos componentes de custo incluídos na TCO, descrições dos outros separadores, considerações e limitações fundamentais, fontes de dados, glossário de termos e informações de contacto para perguntas sobre o uso da ferramenta</a:t>
          </a:r>
          <a:r>
            <a:rPr lang="pt-PT" sz="1100">
              <a:solidFill>
                <a:schemeClr val="accent1">
                  <a:lumMod val="40000"/>
                  <a:lumOff val="60000"/>
                </a:schemeClr>
              </a:solidFill>
              <a:effectLst/>
              <a:latin typeface="+mn-lt"/>
              <a:ea typeface="+mn-ea"/>
              <a:cs typeface="+mn-cs"/>
            </a:rPr>
            <a:t>.</a:t>
          </a:r>
          <a:endParaRPr lang="en-US" sz="1100">
            <a:solidFill>
              <a:schemeClr val="accent1">
                <a:lumMod val="40000"/>
                <a:lumOff val="60000"/>
              </a:schemeClr>
            </a:solidFill>
            <a:effectLst/>
            <a:latin typeface="+mn-lt"/>
            <a:ea typeface="+mn-ea"/>
            <a:cs typeface="+mn-cs"/>
          </a:endParaRPr>
        </a:p>
        <a:p>
          <a:pPr algn="ctr"/>
          <a:r>
            <a:rPr lang="en-US" sz="1200" b="0" baseline="0">
              <a:solidFill>
                <a:schemeClr val="accent1">
                  <a:lumMod val="20000"/>
                  <a:lumOff val="80000"/>
                </a:schemeClr>
              </a:solidFill>
            </a:rPr>
            <a:t>. </a:t>
          </a:r>
          <a:endParaRPr lang="en-US" sz="1200" b="0">
            <a:solidFill>
              <a:schemeClr val="accent1">
                <a:lumMod val="20000"/>
                <a:lumOff val="80000"/>
              </a:schemeClr>
            </a:solidFill>
          </a:endParaRPr>
        </a:p>
      </xdr:txBody>
    </xdr:sp>
    <xdr:clientData/>
  </xdr:twoCellAnchor>
  <xdr:twoCellAnchor>
    <xdr:from>
      <xdr:col>1</xdr:col>
      <xdr:colOff>2920044</xdr:colOff>
      <xdr:row>17</xdr:row>
      <xdr:rowOff>179478</xdr:rowOff>
    </xdr:from>
    <xdr:to>
      <xdr:col>1</xdr:col>
      <xdr:colOff>5853744</xdr:colOff>
      <xdr:row>18</xdr:row>
      <xdr:rowOff>1843634</xdr:rowOff>
    </xdr:to>
    <xdr:sp macro="" textlink="">
      <xdr:nvSpPr>
        <xdr:cNvPr id="13" name="Rectangle 12">
          <a:extLst>
            <a:ext uri="{FF2B5EF4-FFF2-40B4-BE49-F238E27FC236}">
              <a16:creationId xmlns:a16="http://schemas.microsoft.com/office/drawing/2014/main" id="{C35F63C4-CABA-43B6-AA45-2217DC181159}"/>
            </a:ext>
          </a:extLst>
        </xdr:cNvPr>
        <xdr:cNvSpPr/>
      </xdr:nvSpPr>
      <xdr:spPr>
        <a:xfrm>
          <a:off x="3076926" y="6880596"/>
          <a:ext cx="2933700" cy="18546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i="1">
              <a:solidFill>
                <a:schemeClr val="tx2"/>
              </a:solidFill>
            </a:rPr>
            <a:t>Inputs</a:t>
          </a:r>
        </a:p>
        <a:p>
          <a:pPr algn="ctr"/>
          <a:r>
            <a:rPr lang="pt-PT" sz="1100">
              <a:solidFill>
                <a:schemeClr val="tx2"/>
              </a:solidFill>
              <a:effectLst/>
              <a:latin typeface="+mn-lt"/>
              <a:ea typeface="+mn-ea"/>
              <a:cs typeface="+mn-cs"/>
            </a:rPr>
            <a:t>Há quatro separadores de entrada de dados na TCO que estão organizados pelo âmbito da implementação (país, escala, modelo de alojamento, etc.) e as três categorias de custos (Desenvolvimento, Implementação, Operações). Os dados destes separadores são usados para desenvolver o resumo de custos e para realizar análises comparativas</a:t>
          </a:r>
          <a:r>
            <a:rPr lang="en-US" sz="1200" b="0" baseline="0">
              <a:solidFill>
                <a:schemeClr val="tx2"/>
              </a:solidFill>
            </a:rPr>
            <a:t>.</a:t>
          </a:r>
          <a:endParaRPr lang="en-US" sz="1200" b="0">
            <a:solidFill>
              <a:schemeClr val="tx2"/>
            </a:solidFill>
          </a:endParaRPr>
        </a:p>
      </xdr:txBody>
    </xdr:sp>
    <xdr:clientData/>
  </xdr:twoCellAnchor>
  <xdr:twoCellAnchor>
    <xdr:from>
      <xdr:col>1</xdr:col>
      <xdr:colOff>8236323</xdr:colOff>
      <xdr:row>17</xdr:row>
      <xdr:rowOff>179478</xdr:rowOff>
    </xdr:from>
    <xdr:to>
      <xdr:col>1</xdr:col>
      <xdr:colOff>11990293</xdr:colOff>
      <xdr:row>18</xdr:row>
      <xdr:rowOff>1843634</xdr:rowOff>
    </xdr:to>
    <xdr:sp macro="" textlink="">
      <xdr:nvSpPr>
        <xdr:cNvPr id="14" name="Rectangle 13">
          <a:extLst>
            <a:ext uri="{FF2B5EF4-FFF2-40B4-BE49-F238E27FC236}">
              <a16:creationId xmlns:a16="http://schemas.microsoft.com/office/drawing/2014/main" id="{D5EE45F1-09BC-41F7-9800-C789CDA85712}"/>
            </a:ext>
          </a:extLst>
        </xdr:cNvPr>
        <xdr:cNvSpPr/>
      </xdr:nvSpPr>
      <xdr:spPr>
        <a:xfrm>
          <a:off x="8393205" y="6880596"/>
          <a:ext cx="3753970" cy="18546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Orientação - </a:t>
          </a:r>
          <a:r>
            <a:rPr lang="en-US" sz="1200" b="1" i="1">
              <a:solidFill>
                <a:schemeClr val="tx2"/>
              </a:solidFill>
            </a:rPr>
            <a:t>Benchmarking</a:t>
          </a:r>
        </a:p>
        <a:p>
          <a:pPr algn="ctr"/>
          <a:r>
            <a:rPr lang="en-US" sz="1100" b="0">
              <a:solidFill>
                <a:schemeClr val="tx2"/>
              </a:solidFill>
            </a:rPr>
            <a:t>O separador de Benchmarking (Análise Comparativa) permite aos utilizadores comparar os custos relativos da sua solução para a TCO para implantação a nível nacional de uma solução num ambiente de baixos recursos. Esta análise dará indicação ao utilizador se a componente de custo não parecer adequada em relação a outros custos na ferramenta. Os utilizadores serão depois orientados a voltar para os separadores de Input para visitarem os custos, se aplicável. Este separador só pode ser usado se os separadores de Input tiverem sido preenchidos.</a:t>
          </a:r>
          <a:r>
            <a:rPr lang="en-US" sz="1100" b="0" baseline="0">
              <a:solidFill>
                <a:schemeClr val="tx2"/>
              </a:solidFill>
            </a:rPr>
            <a:t> </a:t>
          </a:r>
          <a:endParaRPr lang="en-US" sz="1100" b="0">
            <a:solidFill>
              <a:schemeClr val="tx2"/>
            </a:solidFill>
          </a:endParaRPr>
        </a:p>
      </xdr:txBody>
    </xdr:sp>
    <xdr:clientData/>
  </xdr:twoCellAnchor>
  <xdr:twoCellAnchor>
    <xdr:from>
      <xdr:col>1</xdr:col>
      <xdr:colOff>6049107</xdr:colOff>
      <xdr:row>17</xdr:row>
      <xdr:rowOff>179478</xdr:rowOff>
    </xdr:from>
    <xdr:to>
      <xdr:col>1</xdr:col>
      <xdr:colOff>8137856</xdr:colOff>
      <xdr:row>18</xdr:row>
      <xdr:rowOff>1843634</xdr:rowOff>
    </xdr:to>
    <xdr:sp macro="" textlink="">
      <xdr:nvSpPr>
        <xdr:cNvPr id="15" name="Rectangle 14">
          <a:extLst>
            <a:ext uri="{FF2B5EF4-FFF2-40B4-BE49-F238E27FC236}">
              <a16:creationId xmlns:a16="http://schemas.microsoft.com/office/drawing/2014/main" id="{4E5D8495-BC59-49FB-8916-18FE6DA699C0}"/>
            </a:ext>
          </a:extLst>
        </xdr:cNvPr>
        <xdr:cNvSpPr/>
      </xdr:nvSpPr>
      <xdr:spPr>
        <a:xfrm>
          <a:off x="6205989" y="6880596"/>
          <a:ext cx="2088749" cy="18546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i="1">
              <a:solidFill>
                <a:schemeClr val="tx2"/>
              </a:solidFill>
            </a:rPr>
            <a:t>Ouput</a:t>
          </a:r>
          <a:r>
            <a:rPr lang="en-US" sz="1200" b="1">
              <a:solidFill>
                <a:schemeClr val="tx2"/>
              </a:solidFill>
            </a:rPr>
            <a:t> - Resumo de Custos</a:t>
          </a:r>
        </a:p>
        <a:p>
          <a:pPr algn="ctr"/>
          <a:r>
            <a:rPr lang="pt-PT" sz="1100">
              <a:solidFill>
                <a:schemeClr val="tx2"/>
              </a:solidFill>
              <a:effectLst/>
              <a:latin typeface="+mn-lt"/>
              <a:ea typeface="+mn-ea"/>
              <a:cs typeface="+mn-cs"/>
            </a:rPr>
            <a:t>O separador Resumo de Custos mostra o custo da implementação durante um período de 5 anos de forma resumida. Este separador só deve ser utilizado depois de os separadores de entrada terem sido preenchidos.</a:t>
          </a:r>
          <a:r>
            <a:rPr lang="en-US" sz="1200" b="0" baseline="0">
              <a:solidFill>
                <a:schemeClr val="tx2"/>
              </a:solidFill>
            </a:rPr>
            <a:t>.</a:t>
          </a:r>
          <a:endParaRPr lang="en-US" sz="1200" b="0">
            <a:solidFill>
              <a:schemeClr val="tx2"/>
            </a:solidFill>
          </a:endParaRPr>
        </a:p>
      </xdr:txBody>
    </xdr:sp>
    <xdr:clientData/>
  </xdr:twoCellAnchor>
  <xdr:twoCellAnchor>
    <xdr:from>
      <xdr:col>1</xdr:col>
      <xdr:colOff>12086877</xdr:colOff>
      <xdr:row>17</xdr:row>
      <xdr:rowOff>179478</xdr:rowOff>
    </xdr:from>
    <xdr:to>
      <xdr:col>2</xdr:col>
      <xdr:colOff>302558</xdr:colOff>
      <xdr:row>18</xdr:row>
      <xdr:rowOff>1834562</xdr:rowOff>
    </xdr:to>
    <xdr:sp macro="" textlink="">
      <xdr:nvSpPr>
        <xdr:cNvPr id="16" name="Rectangle 15">
          <a:extLst>
            <a:ext uri="{FF2B5EF4-FFF2-40B4-BE49-F238E27FC236}">
              <a16:creationId xmlns:a16="http://schemas.microsoft.com/office/drawing/2014/main" id="{89C8C39C-9952-4771-AAC2-9B3637B3E6A0}"/>
            </a:ext>
          </a:extLst>
        </xdr:cNvPr>
        <xdr:cNvSpPr/>
      </xdr:nvSpPr>
      <xdr:spPr>
        <a:xfrm>
          <a:off x="12243759" y="6880596"/>
          <a:ext cx="2727299" cy="18455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Compromisso Orçamental &amp; Lacunas</a:t>
          </a:r>
        </a:p>
        <a:p>
          <a:pPr algn="ctr"/>
          <a:r>
            <a:rPr lang="en-US" sz="1200" b="0">
              <a:solidFill>
                <a:schemeClr val="tx2"/>
              </a:solidFill>
            </a:rPr>
            <a:t>O separador de Compromisso Orçamental &amp; Lacunas mostra o custo total da intervenção de saúde digital num período de 5 anos com compromissos de financiamento do governo e outros stakeholders. Os Utilizadores podem inserir os compromissos planificados ou existentes para cada fase</a:t>
          </a:r>
          <a:r>
            <a:rPr lang="en-US" sz="1200" b="0" baseline="0">
              <a:solidFill>
                <a:schemeClr val="tx2"/>
              </a:solidFill>
            </a:rPr>
            <a:t>.</a:t>
          </a:r>
          <a:endParaRPr lang="en-US" sz="1200" b="0">
            <a:solidFill>
              <a:schemeClr val="tx2"/>
            </a:solidFill>
          </a:endParaRPr>
        </a:p>
      </xdr:txBody>
    </xdr:sp>
    <xdr:clientData/>
  </xdr:twoCellAnchor>
  <xdr:twoCellAnchor>
    <xdr:from>
      <xdr:col>1</xdr:col>
      <xdr:colOff>241300</xdr:colOff>
      <xdr:row>10</xdr:row>
      <xdr:rowOff>101600</xdr:rowOff>
    </xdr:from>
    <xdr:to>
      <xdr:col>1</xdr:col>
      <xdr:colOff>4356100</xdr:colOff>
      <xdr:row>10</xdr:row>
      <xdr:rowOff>1610000</xdr:rowOff>
    </xdr:to>
    <xdr:sp macro="" textlink="">
      <xdr:nvSpPr>
        <xdr:cNvPr id="9" name="Rounded Rectangle 8">
          <a:extLst>
            <a:ext uri="{FF2B5EF4-FFF2-40B4-BE49-F238E27FC236}">
              <a16:creationId xmlns:a16="http://schemas.microsoft.com/office/drawing/2014/main" id="{D800D5A7-6198-B146-BCBD-16E6E50EBD28}"/>
            </a:ext>
          </a:extLst>
        </xdr:cNvPr>
        <xdr:cNvSpPr/>
      </xdr:nvSpPr>
      <xdr:spPr>
        <a:xfrm>
          <a:off x="406400" y="3543300"/>
          <a:ext cx="4114800" cy="1508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US" sz="1400" b="1">
              <a:solidFill>
                <a:schemeClr val="bg1"/>
              </a:solidFill>
            </a:rPr>
            <a:t>Custos de Desenvolvimento</a:t>
          </a:r>
          <a:endParaRPr lang="en-US" sz="400">
            <a:solidFill>
              <a:schemeClr val="bg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PT" sz="1100">
              <a:solidFill>
                <a:schemeClr val="lt1"/>
              </a:solidFill>
              <a:effectLst/>
              <a:latin typeface="+mn-lt"/>
              <a:ea typeface="+mn-ea"/>
              <a:cs typeface="+mn-cs"/>
            </a:rPr>
            <a:t>Custos associados ao escopo e planificação para a implementação, incluindo desenvolvimento de software, recursos humanos, viagens para reuniões, workshops, recolha de requisitos, gestão de projectos e despesas gerais, e outros custos directos e indirectos.</a:t>
          </a:r>
          <a:endParaRPr lang="en-US" sz="1100">
            <a:solidFill>
              <a:schemeClr val="lt1"/>
            </a:solidFill>
            <a:effectLst/>
            <a:latin typeface="+mn-lt"/>
            <a:ea typeface="+mn-ea"/>
            <a:cs typeface="+mn-cs"/>
          </a:endParaRPr>
        </a:p>
        <a:p>
          <a:pPr algn="ctr"/>
          <a:endParaRPr lang="en-US" sz="1100">
            <a:solidFill>
              <a:schemeClr val="bg1"/>
            </a:solidFill>
          </a:endParaRPr>
        </a:p>
      </xdr:txBody>
    </xdr:sp>
    <xdr:clientData/>
  </xdr:twoCellAnchor>
  <xdr:twoCellAnchor>
    <xdr:from>
      <xdr:col>1</xdr:col>
      <xdr:colOff>5232400</xdr:colOff>
      <xdr:row>10</xdr:row>
      <xdr:rowOff>101600</xdr:rowOff>
    </xdr:from>
    <xdr:to>
      <xdr:col>1</xdr:col>
      <xdr:colOff>9347200</xdr:colOff>
      <xdr:row>10</xdr:row>
      <xdr:rowOff>1612900</xdr:rowOff>
    </xdr:to>
    <xdr:sp macro="" textlink="">
      <xdr:nvSpPr>
        <xdr:cNvPr id="19" name="Rounded Rectangle 18">
          <a:extLst>
            <a:ext uri="{FF2B5EF4-FFF2-40B4-BE49-F238E27FC236}">
              <a16:creationId xmlns:a16="http://schemas.microsoft.com/office/drawing/2014/main" id="{89328271-6938-9B49-BC0A-375101544A86}"/>
            </a:ext>
          </a:extLst>
        </xdr:cNvPr>
        <xdr:cNvSpPr/>
      </xdr:nvSpPr>
      <xdr:spPr>
        <a:xfrm>
          <a:off x="5384800" y="4267200"/>
          <a:ext cx="4114800" cy="15113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US" sz="1400" b="1">
              <a:solidFill>
                <a:schemeClr val="bg1"/>
              </a:solidFill>
            </a:rPr>
            <a:t>Custos de Implantação </a:t>
          </a:r>
        </a:p>
        <a:p>
          <a:pPr algn="ctr"/>
          <a:r>
            <a:rPr lang="en-US" sz="1100" b="0">
              <a:solidFill>
                <a:schemeClr val="bg1"/>
              </a:solidFill>
            </a:rPr>
            <a:t>Número de localizações à medida que o sistema é dimensionado. Inclui custos de única vez para equipamento, infra-estrutura, nova formação em implantação, serviços de implementação, actualizações de interoperabilidade integração de sistemas e implantação adicional de software durante o período de implantação..</a:t>
          </a:r>
          <a:endParaRPr lang="en-US" sz="1050" b="0">
            <a:solidFill>
              <a:schemeClr val="bg1"/>
            </a:solidFill>
          </a:endParaRPr>
        </a:p>
      </xdr:txBody>
    </xdr:sp>
    <xdr:clientData/>
  </xdr:twoCellAnchor>
  <xdr:twoCellAnchor>
    <xdr:from>
      <xdr:col>1</xdr:col>
      <xdr:colOff>10223500</xdr:colOff>
      <xdr:row>10</xdr:row>
      <xdr:rowOff>114300</xdr:rowOff>
    </xdr:from>
    <xdr:to>
      <xdr:col>1</xdr:col>
      <xdr:colOff>14338300</xdr:colOff>
      <xdr:row>10</xdr:row>
      <xdr:rowOff>1622700</xdr:rowOff>
    </xdr:to>
    <xdr:sp macro="" textlink="">
      <xdr:nvSpPr>
        <xdr:cNvPr id="20" name="Rounded Rectangle 19">
          <a:extLst>
            <a:ext uri="{FF2B5EF4-FFF2-40B4-BE49-F238E27FC236}">
              <a16:creationId xmlns:a16="http://schemas.microsoft.com/office/drawing/2014/main" id="{4A8C93CC-4901-3B47-8336-903DC384A15C}"/>
            </a:ext>
          </a:extLst>
        </xdr:cNvPr>
        <xdr:cNvSpPr/>
      </xdr:nvSpPr>
      <xdr:spPr>
        <a:xfrm>
          <a:off x="10375900" y="4279900"/>
          <a:ext cx="4114800" cy="1508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US" sz="1400" b="1">
              <a:solidFill>
                <a:schemeClr val="bg1"/>
              </a:solidFill>
            </a:rPr>
            <a:t>Custos de Operações</a:t>
          </a:r>
        </a:p>
        <a:p>
          <a:pPr algn="ctr"/>
          <a:r>
            <a:rPr lang="en-US" sz="1100" b="0">
              <a:solidFill>
                <a:schemeClr val="bg1"/>
              </a:solidFill>
            </a:rPr>
            <a:t>Custos associados com a operação contínua de uma intervenção de saúde digital. Inclui custos de recursos humanos para gerir e operar a intervenção, custos de manutenção regular e de substituição, serviço de dados e de voz, licenças e subscrições, capacitação recorrente ou de reciclagem, assistência do helpdesk, gestão do projecto, governava e monitoria &amp; avaliação.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9</xdr:row>
      <xdr:rowOff>447675</xdr:rowOff>
    </xdr:from>
    <xdr:to>
      <xdr:col>5</xdr:col>
      <xdr:colOff>2828925</xdr:colOff>
      <xdr:row>9</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C43BD35-7A04-6C40-ABC8-0622EF808EA7}"/>
            </a:ext>
          </a:extLst>
        </xdr:cNvPr>
        <xdr:cNvSpPr/>
      </xdr:nvSpPr>
      <xdr:spPr>
        <a:xfrm>
          <a:off x="14503400" y="49053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28574</xdr:colOff>
      <xdr:row>9</xdr:row>
      <xdr:rowOff>628650</xdr:rowOff>
    </xdr:from>
    <xdr:to>
      <xdr:col>5</xdr:col>
      <xdr:colOff>2838449</xdr:colOff>
      <xdr:row>9</xdr:row>
      <xdr:rowOff>971550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F0B59DF-0D24-664B-8A8F-A27ACE7E1FE2}"/>
            </a:ext>
          </a:extLst>
        </xdr:cNvPr>
        <xdr:cNvSpPr/>
      </xdr:nvSpPr>
      <xdr:spPr>
        <a:xfrm>
          <a:off x="14531974" y="5086350"/>
          <a:ext cx="28098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9</xdr:row>
      <xdr:rowOff>971550</xdr:rowOff>
    </xdr:from>
    <xdr:to>
      <xdr:col>5</xdr:col>
      <xdr:colOff>2952750</xdr:colOff>
      <xdr:row>10</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DE17624-B221-614C-8FE4-ABB96A3FEC86}"/>
            </a:ext>
          </a:extLst>
        </xdr:cNvPr>
        <xdr:cNvSpPr/>
      </xdr:nvSpPr>
      <xdr:spPr>
        <a:xfrm>
          <a:off x="14531975" y="5429250"/>
          <a:ext cx="29241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10</xdr:row>
      <xdr:rowOff>447675</xdr:rowOff>
    </xdr:from>
    <xdr:to>
      <xdr:col>5</xdr:col>
      <xdr:colOff>2828925</xdr:colOff>
      <xdr:row>10</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765C38F9-A3D7-DC40-BE56-80EEEBA81992}"/>
            </a:ext>
          </a:extLst>
        </xdr:cNvPr>
        <xdr:cNvSpPr/>
      </xdr:nvSpPr>
      <xdr:spPr>
        <a:xfrm>
          <a:off x="14503400" y="61245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28574</xdr:colOff>
      <xdr:row>10</xdr:row>
      <xdr:rowOff>628650</xdr:rowOff>
    </xdr:from>
    <xdr:to>
      <xdr:col>5</xdr:col>
      <xdr:colOff>2838449</xdr:colOff>
      <xdr:row>10</xdr:row>
      <xdr:rowOff>971550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CC8F23BE-1213-244D-AEC5-BDC5AB6F27D6}"/>
            </a:ext>
          </a:extLst>
        </xdr:cNvPr>
        <xdr:cNvSpPr/>
      </xdr:nvSpPr>
      <xdr:spPr>
        <a:xfrm>
          <a:off x="14531974" y="6280150"/>
          <a:ext cx="2809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10</xdr:row>
      <xdr:rowOff>971550</xdr:rowOff>
    </xdr:from>
    <xdr:to>
      <xdr:col>5</xdr:col>
      <xdr:colOff>2952750</xdr:colOff>
      <xdr:row>11</xdr:row>
      <xdr:rowOff>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3D505FDC-5B22-9547-95E4-3639813FCD40}"/>
            </a:ext>
          </a:extLst>
        </xdr:cNvPr>
        <xdr:cNvSpPr/>
      </xdr:nvSpPr>
      <xdr:spPr>
        <a:xfrm>
          <a:off x="14531975" y="6280150"/>
          <a:ext cx="29241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10</xdr:row>
      <xdr:rowOff>387350</xdr:rowOff>
    </xdr:from>
    <xdr:to>
      <xdr:col>5</xdr:col>
      <xdr:colOff>2901950</xdr:colOff>
      <xdr:row>11</xdr:row>
      <xdr:rowOff>15875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CA61A526-34E9-E946-BD23-F350FF14E5A8}"/>
            </a:ext>
          </a:extLst>
        </xdr:cNvPr>
        <xdr:cNvSpPr/>
      </xdr:nvSpPr>
      <xdr:spPr>
        <a:xfrm>
          <a:off x="14512925" y="6064250"/>
          <a:ext cx="28924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10</xdr:row>
      <xdr:rowOff>38099</xdr:rowOff>
    </xdr:from>
    <xdr:to>
      <xdr:col>5</xdr:col>
      <xdr:colOff>2952750</xdr:colOff>
      <xdr:row>10</xdr:row>
      <xdr:rowOff>393699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F52C716E-1A61-424D-B2E3-D18F3440A3B8}"/>
            </a:ext>
          </a:extLst>
        </xdr:cNvPr>
        <xdr:cNvSpPr/>
      </xdr:nvSpPr>
      <xdr:spPr>
        <a:xfrm>
          <a:off x="14531975" y="5714999"/>
          <a:ext cx="2924175"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6350</xdr:colOff>
      <xdr:row>14</xdr:row>
      <xdr:rowOff>1473201</xdr:rowOff>
    </xdr:from>
    <xdr:to>
      <xdr:col>5</xdr:col>
      <xdr:colOff>2905125</xdr:colOff>
      <xdr:row>15</xdr:row>
      <xdr:rowOff>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08BCDCCD-DB63-2D44-AA25-45A8B23125F8}"/>
            </a:ext>
          </a:extLst>
        </xdr:cNvPr>
        <xdr:cNvSpPr/>
      </xdr:nvSpPr>
      <xdr:spPr>
        <a:xfrm>
          <a:off x="14509750" y="9169401"/>
          <a:ext cx="2898775" cy="355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14</xdr:row>
      <xdr:rowOff>1108074</xdr:rowOff>
    </xdr:from>
    <xdr:to>
      <xdr:col>5</xdr:col>
      <xdr:colOff>2911475</xdr:colOff>
      <xdr:row>14</xdr:row>
      <xdr:rowOff>1457324</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3F324A94-14ED-4D4D-A758-A43EEDB1DA70}"/>
            </a:ext>
          </a:extLst>
        </xdr:cNvPr>
        <xdr:cNvSpPr/>
      </xdr:nvSpPr>
      <xdr:spPr>
        <a:xfrm>
          <a:off x="14503400" y="8804274"/>
          <a:ext cx="2911475" cy="349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13</xdr:row>
      <xdr:rowOff>447675</xdr:rowOff>
    </xdr:from>
    <xdr:to>
      <xdr:col>5</xdr:col>
      <xdr:colOff>2828925</xdr:colOff>
      <xdr:row>13</xdr:row>
      <xdr:rowOff>600075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AE5375E-30CA-BA40-A1F2-8662F18DFD90}"/>
            </a:ext>
          </a:extLst>
        </xdr:cNvPr>
        <xdr:cNvSpPr/>
      </xdr:nvSpPr>
      <xdr:spPr>
        <a:xfrm>
          <a:off x="14503400" y="71278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13</xdr:row>
      <xdr:rowOff>387351</xdr:rowOff>
    </xdr:from>
    <xdr:to>
      <xdr:col>5</xdr:col>
      <xdr:colOff>2901950</xdr:colOff>
      <xdr:row>13</xdr:row>
      <xdr:rowOff>723901</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8774D4C6-E16E-9F41-A153-D32B4464BB88}"/>
            </a:ext>
          </a:extLst>
        </xdr:cNvPr>
        <xdr:cNvSpPr/>
      </xdr:nvSpPr>
      <xdr:spPr>
        <a:xfrm>
          <a:off x="14512925" y="70675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13</xdr:row>
      <xdr:rowOff>380999</xdr:rowOff>
    </xdr:from>
    <xdr:to>
      <xdr:col>5</xdr:col>
      <xdr:colOff>2933700</xdr:colOff>
      <xdr:row>13</xdr:row>
      <xdr:rowOff>736599</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ACDAC42D-A836-6C4C-90FD-AC945428D50A}"/>
            </a:ext>
          </a:extLst>
        </xdr:cNvPr>
        <xdr:cNvSpPr/>
      </xdr:nvSpPr>
      <xdr:spPr>
        <a:xfrm>
          <a:off x="14512925" y="7061199"/>
          <a:ext cx="2924175"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19050</xdr:colOff>
      <xdr:row>13</xdr:row>
      <xdr:rowOff>749300</xdr:rowOff>
    </xdr:from>
    <xdr:to>
      <xdr:col>5</xdr:col>
      <xdr:colOff>2911475</xdr:colOff>
      <xdr:row>14</xdr:row>
      <xdr:rowOff>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BABEABC-8520-D94B-919C-15BF970D0C41}"/>
            </a:ext>
          </a:extLst>
        </xdr:cNvPr>
        <xdr:cNvSpPr/>
      </xdr:nvSpPr>
      <xdr:spPr>
        <a:xfrm>
          <a:off x="14522450" y="7429500"/>
          <a:ext cx="2892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18</xdr:row>
      <xdr:rowOff>234950</xdr:rowOff>
    </xdr:from>
    <xdr:to>
      <xdr:col>5</xdr:col>
      <xdr:colOff>2828925</xdr:colOff>
      <xdr:row>18</xdr:row>
      <xdr:rowOff>387350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C5516C4E-3072-604E-88EF-269219CD4572}"/>
            </a:ext>
          </a:extLst>
        </xdr:cNvPr>
        <xdr:cNvSpPr/>
      </xdr:nvSpPr>
      <xdr:spPr>
        <a:xfrm>
          <a:off x="14503400" y="10534650"/>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3174</xdr:colOff>
      <xdr:row>18</xdr:row>
      <xdr:rowOff>415925</xdr:rowOff>
    </xdr:from>
    <xdr:to>
      <xdr:col>5</xdr:col>
      <xdr:colOff>2813049</xdr:colOff>
      <xdr:row>18</xdr:row>
      <xdr:rowOff>714375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1B62B1A-2558-4647-9354-E26CC40E3142}"/>
            </a:ext>
          </a:extLst>
        </xdr:cNvPr>
        <xdr:cNvSpPr/>
      </xdr:nvSpPr>
      <xdr:spPr>
        <a:xfrm>
          <a:off x="14506574" y="10715625"/>
          <a:ext cx="2809875"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18</xdr:row>
      <xdr:rowOff>752475</xdr:rowOff>
    </xdr:from>
    <xdr:to>
      <xdr:col>5</xdr:col>
      <xdr:colOff>2952750</xdr:colOff>
      <xdr:row>19</xdr:row>
      <xdr:rowOff>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7D7526A0-A1B5-B647-AABF-AA33A6782E0E}"/>
            </a:ext>
          </a:extLst>
        </xdr:cNvPr>
        <xdr:cNvSpPr/>
      </xdr:nvSpPr>
      <xdr:spPr>
        <a:xfrm flipV="1">
          <a:off x="14531975" y="11052175"/>
          <a:ext cx="2924175" cy="60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19</xdr:row>
      <xdr:rowOff>447675</xdr:rowOff>
    </xdr:from>
    <xdr:to>
      <xdr:col>5</xdr:col>
      <xdr:colOff>2828925</xdr:colOff>
      <xdr:row>19</xdr:row>
      <xdr:rowOff>600075</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4D049557-604A-C54E-AE7B-E022E015CDE5}"/>
            </a:ext>
          </a:extLst>
        </xdr:cNvPr>
        <xdr:cNvSpPr/>
      </xdr:nvSpPr>
      <xdr:spPr>
        <a:xfrm>
          <a:off x="14503400" y="115601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19</xdr:row>
      <xdr:rowOff>387351</xdr:rowOff>
    </xdr:from>
    <xdr:to>
      <xdr:col>5</xdr:col>
      <xdr:colOff>2901950</xdr:colOff>
      <xdr:row>19</xdr:row>
      <xdr:rowOff>723901</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856A4A2B-C189-DA4B-B4CD-FA1DF2CBE5CB}"/>
            </a:ext>
          </a:extLst>
        </xdr:cNvPr>
        <xdr:cNvSpPr/>
      </xdr:nvSpPr>
      <xdr:spPr>
        <a:xfrm>
          <a:off x="14512925" y="11499851"/>
          <a:ext cx="28924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19</xdr:row>
      <xdr:rowOff>12698</xdr:rowOff>
    </xdr:from>
    <xdr:to>
      <xdr:col>5</xdr:col>
      <xdr:colOff>2914650</xdr:colOff>
      <xdr:row>19</xdr:row>
      <xdr:rowOff>380999</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F2B20120-C1CA-C94F-B731-2E8E3AA9BAAF}"/>
            </a:ext>
          </a:extLst>
        </xdr:cNvPr>
        <xdr:cNvSpPr/>
      </xdr:nvSpPr>
      <xdr:spPr>
        <a:xfrm>
          <a:off x="14503400" y="111251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19050</xdr:colOff>
      <xdr:row>19</xdr:row>
      <xdr:rowOff>749300</xdr:rowOff>
    </xdr:from>
    <xdr:to>
      <xdr:col>5</xdr:col>
      <xdr:colOff>2911475</xdr:colOff>
      <xdr:row>20</xdr:row>
      <xdr:rowOff>25400</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38C58CDF-F039-934F-8136-DE9F39ED6210}"/>
            </a:ext>
          </a:extLst>
        </xdr:cNvPr>
        <xdr:cNvSpPr/>
      </xdr:nvSpPr>
      <xdr:spPr>
        <a:xfrm>
          <a:off x="14522450" y="11722100"/>
          <a:ext cx="28924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25</xdr:row>
      <xdr:rowOff>234950</xdr:rowOff>
    </xdr:from>
    <xdr:to>
      <xdr:col>5</xdr:col>
      <xdr:colOff>2828925</xdr:colOff>
      <xdr:row>25</xdr:row>
      <xdr:rowOff>387350</xdr:rowOff>
    </xdr:to>
    <xdr:sp macro="" textlink="">
      <xdr:nvSpPr>
        <xdr:cNvPr id="23" name="Rectangle 22">
          <a:hlinkClick xmlns:r="http://schemas.openxmlformats.org/officeDocument/2006/relationships" r:id="rId1"/>
          <a:extLst>
            <a:ext uri="{FF2B5EF4-FFF2-40B4-BE49-F238E27FC236}">
              <a16:creationId xmlns:a16="http://schemas.microsoft.com/office/drawing/2014/main" id="{0CA13733-FCBD-6948-B3FC-F2441D5485E1}"/>
            </a:ext>
          </a:extLst>
        </xdr:cNvPr>
        <xdr:cNvSpPr/>
      </xdr:nvSpPr>
      <xdr:spPr>
        <a:xfrm>
          <a:off x="14503400" y="13531850"/>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3174</xdr:colOff>
      <xdr:row>25</xdr:row>
      <xdr:rowOff>415925</xdr:rowOff>
    </xdr:from>
    <xdr:to>
      <xdr:col>5</xdr:col>
      <xdr:colOff>2813049</xdr:colOff>
      <xdr:row>25</xdr:row>
      <xdr:rowOff>714375</xdr:rowOff>
    </xdr:to>
    <xdr:sp macro="" textlink="">
      <xdr:nvSpPr>
        <xdr:cNvPr id="24" name="Rectangle 23">
          <a:hlinkClick xmlns:r="http://schemas.openxmlformats.org/officeDocument/2006/relationships" r:id="rId2"/>
          <a:extLst>
            <a:ext uri="{FF2B5EF4-FFF2-40B4-BE49-F238E27FC236}">
              <a16:creationId xmlns:a16="http://schemas.microsoft.com/office/drawing/2014/main" id="{99A9617D-AE18-4245-BA17-23EB2AD80A17}"/>
            </a:ext>
          </a:extLst>
        </xdr:cNvPr>
        <xdr:cNvSpPr/>
      </xdr:nvSpPr>
      <xdr:spPr>
        <a:xfrm>
          <a:off x="14506574" y="13712825"/>
          <a:ext cx="2809875"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25</xdr:row>
      <xdr:rowOff>752475</xdr:rowOff>
    </xdr:from>
    <xdr:to>
      <xdr:col>5</xdr:col>
      <xdr:colOff>2952750</xdr:colOff>
      <xdr:row>26</xdr:row>
      <xdr:rowOff>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74C35F54-5551-8A45-9C8D-08C627DD0FFA}"/>
            </a:ext>
          </a:extLst>
        </xdr:cNvPr>
        <xdr:cNvSpPr/>
      </xdr:nvSpPr>
      <xdr:spPr>
        <a:xfrm flipV="1">
          <a:off x="14531975" y="14049375"/>
          <a:ext cx="2924175" cy="60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xdr:row>
      <xdr:rowOff>447675</xdr:rowOff>
    </xdr:from>
    <xdr:to>
      <xdr:col>5</xdr:col>
      <xdr:colOff>2828925</xdr:colOff>
      <xdr:row>26</xdr:row>
      <xdr:rowOff>600075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A831577E-A649-C44B-803E-2A1F541F41A9}"/>
            </a:ext>
          </a:extLst>
        </xdr:cNvPr>
        <xdr:cNvSpPr/>
      </xdr:nvSpPr>
      <xdr:spPr>
        <a:xfrm>
          <a:off x="14503400" y="145573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26</xdr:row>
      <xdr:rowOff>387351</xdr:rowOff>
    </xdr:from>
    <xdr:to>
      <xdr:col>5</xdr:col>
      <xdr:colOff>2901950</xdr:colOff>
      <xdr:row>26</xdr:row>
      <xdr:rowOff>723901</xdr:rowOff>
    </xdr:to>
    <xdr:sp macro="" textlink="">
      <xdr:nvSpPr>
        <xdr:cNvPr id="27" name="Rectangle 26">
          <a:hlinkClick xmlns:r="http://schemas.openxmlformats.org/officeDocument/2006/relationships" r:id="rId3"/>
          <a:extLst>
            <a:ext uri="{FF2B5EF4-FFF2-40B4-BE49-F238E27FC236}">
              <a16:creationId xmlns:a16="http://schemas.microsoft.com/office/drawing/2014/main" id="{F563A0C5-701E-D448-8417-1D1B4666AD66}"/>
            </a:ext>
          </a:extLst>
        </xdr:cNvPr>
        <xdr:cNvSpPr/>
      </xdr:nvSpPr>
      <xdr:spPr>
        <a:xfrm>
          <a:off x="14512925" y="144970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xdr:row>
      <xdr:rowOff>12698</xdr:rowOff>
    </xdr:from>
    <xdr:to>
      <xdr:col>5</xdr:col>
      <xdr:colOff>2914650</xdr:colOff>
      <xdr:row>26</xdr:row>
      <xdr:rowOff>380999</xdr:rowOff>
    </xdr:to>
    <xdr:sp macro="" textlink="">
      <xdr:nvSpPr>
        <xdr:cNvPr id="28" name="Rectangle 27">
          <a:hlinkClick xmlns:r="http://schemas.openxmlformats.org/officeDocument/2006/relationships" r:id="rId2"/>
          <a:extLst>
            <a:ext uri="{FF2B5EF4-FFF2-40B4-BE49-F238E27FC236}">
              <a16:creationId xmlns:a16="http://schemas.microsoft.com/office/drawing/2014/main" id="{0E5C9B26-21BE-7348-BA87-5CFFBCDBD5AA}"/>
            </a:ext>
          </a:extLst>
        </xdr:cNvPr>
        <xdr:cNvSpPr/>
      </xdr:nvSpPr>
      <xdr:spPr>
        <a:xfrm>
          <a:off x="14503400" y="141223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7</xdr:row>
      <xdr:rowOff>447675</xdr:rowOff>
    </xdr:from>
    <xdr:to>
      <xdr:col>5</xdr:col>
      <xdr:colOff>2828925</xdr:colOff>
      <xdr:row>7</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286F094-94E8-A84A-97C2-044E531C03C8}"/>
            </a:ext>
          </a:extLst>
        </xdr:cNvPr>
        <xdr:cNvSpPr/>
      </xdr:nvSpPr>
      <xdr:spPr>
        <a:xfrm>
          <a:off x="15544800" y="8969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7</xdr:row>
      <xdr:rowOff>387351</xdr:rowOff>
    </xdr:from>
    <xdr:to>
      <xdr:col>5</xdr:col>
      <xdr:colOff>2901950</xdr:colOff>
      <xdr:row>7</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39B758A-B013-7141-A9C3-4C2DFEDC1DBC}"/>
            </a:ext>
          </a:extLst>
        </xdr:cNvPr>
        <xdr:cNvSpPr/>
      </xdr:nvSpPr>
      <xdr:spPr>
        <a:xfrm>
          <a:off x="15554325" y="8959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7</xdr:row>
      <xdr:rowOff>12698</xdr:rowOff>
    </xdr:from>
    <xdr:to>
      <xdr:col>5</xdr:col>
      <xdr:colOff>2914650</xdr:colOff>
      <xdr:row>7</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E9B3BDEB-00EA-9B46-A87D-D3A86251C7F3}"/>
            </a:ext>
          </a:extLst>
        </xdr:cNvPr>
        <xdr:cNvSpPr/>
      </xdr:nvSpPr>
      <xdr:spPr>
        <a:xfrm>
          <a:off x="15376525" y="8788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9</xdr:row>
      <xdr:rowOff>447675</xdr:rowOff>
    </xdr:from>
    <xdr:to>
      <xdr:col>5</xdr:col>
      <xdr:colOff>2828925</xdr:colOff>
      <xdr:row>9</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19C96D5C-280E-A941-ACC5-75ED9D440AF4}"/>
            </a:ext>
          </a:extLst>
        </xdr:cNvPr>
        <xdr:cNvSpPr/>
      </xdr:nvSpPr>
      <xdr:spPr>
        <a:xfrm>
          <a:off x="15544800" y="9350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15875</xdr:colOff>
      <xdr:row>9</xdr:row>
      <xdr:rowOff>38101</xdr:rowOff>
    </xdr:from>
    <xdr:to>
      <xdr:col>5</xdr:col>
      <xdr:colOff>2914650</xdr:colOff>
      <xdr:row>9</xdr:row>
      <xdr:rowOff>200026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D86EE0A7-4D2C-ED47-81B8-2820F756A1CC}"/>
            </a:ext>
          </a:extLst>
        </xdr:cNvPr>
        <xdr:cNvSpPr/>
      </xdr:nvSpPr>
      <xdr:spPr>
        <a:xfrm>
          <a:off x="15560675" y="9194801"/>
          <a:ext cx="2898775" cy="149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19050</xdr:colOff>
      <xdr:row>9</xdr:row>
      <xdr:rowOff>206375</xdr:rowOff>
    </xdr:from>
    <xdr:to>
      <xdr:col>5</xdr:col>
      <xdr:colOff>2914650</xdr:colOff>
      <xdr:row>10</xdr:row>
      <xdr:rowOff>19050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72FFEF49-79E9-7B48-B2C9-491915702C23}"/>
            </a:ext>
          </a:extLst>
        </xdr:cNvPr>
        <xdr:cNvSpPr/>
      </xdr:nvSpPr>
      <xdr:spPr>
        <a:xfrm>
          <a:off x="15563850" y="9350375"/>
          <a:ext cx="2895600" cy="15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49</xdr:row>
      <xdr:rowOff>447675</xdr:rowOff>
    </xdr:from>
    <xdr:to>
      <xdr:col>5</xdr:col>
      <xdr:colOff>2828925</xdr:colOff>
      <xdr:row>49</xdr:row>
      <xdr:rowOff>600075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F639F85E-0E50-9B40-BC76-9803CAB522C1}"/>
            </a:ext>
          </a:extLst>
        </xdr:cNvPr>
        <xdr:cNvSpPr/>
      </xdr:nvSpPr>
      <xdr:spPr>
        <a:xfrm>
          <a:off x="15544800" y="13160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49</xdr:row>
      <xdr:rowOff>387351</xdr:rowOff>
    </xdr:from>
    <xdr:to>
      <xdr:col>5</xdr:col>
      <xdr:colOff>2901950</xdr:colOff>
      <xdr:row>49</xdr:row>
      <xdr:rowOff>723901</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7916CBBC-FE42-4B48-8656-4C611BE872D1}"/>
            </a:ext>
          </a:extLst>
        </xdr:cNvPr>
        <xdr:cNvSpPr/>
      </xdr:nvSpPr>
      <xdr:spPr>
        <a:xfrm>
          <a:off x="15554325" y="13150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49</xdr:row>
      <xdr:rowOff>12698</xdr:rowOff>
    </xdr:from>
    <xdr:to>
      <xdr:col>5</xdr:col>
      <xdr:colOff>2914650</xdr:colOff>
      <xdr:row>49</xdr:row>
      <xdr:rowOff>380999</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5D7767D0-583E-4A47-8FB2-85AEEEE36F07}"/>
            </a:ext>
          </a:extLst>
        </xdr:cNvPr>
        <xdr:cNvSpPr/>
      </xdr:nvSpPr>
      <xdr:spPr>
        <a:xfrm>
          <a:off x="15376525" y="12979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67</xdr:row>
      <xdr:rowOff>447675</xdr:rowOff>
    </xdr:from>
    <xdr:to>
      <xdr:col>5</xdr:col>
      <xdr:colOff>2828925</xdr:colOff>
      <xdr:row>67</xdr:row>
      <xdr:rowOff>600075</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6F4550E4-F7A8-364F-A7B3-6AA32B3D88F3}"/>
            </a:ext>
          </a:extLst>
        </xdr:cNvPr>
        <xdr:cNvSpPr/>
      </xdr:nvSpPr>
      <xdr:spPr>
        <a:xfrm>
          <a:off x="15544800" y="16589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67</xdr:row>
      <xdr:rowOff>387351</xdr:rowOff>
    </xdr:from>
    <xdr:to>
      <xdr:col>5</xdr:col>
      <xdr:colOff>2901950</xdr:colOff>
      <xdr:row>67</xdr:row>
      <xdr:rowOff>723901</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1B61CCC3-22BA-9547-B6FA-62BD24D9044B}"/>
            </a:ext>
          </a:extLst>
        </xdr:cNvPr>
        <xdr:cNvSpPr/>
      </xdr:nvSpPr>
      <xdr:spPr>
        <a:xfrm>
          <a:off x="15554325" y="16579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67</xdr:row>
      <xdr:rowOff>12698</xdr:rowOff>
    </xdr:from>
    <xdr:to>
      <xdr:col>5</xdr:col>
      <xdr:colOff>2914650</xdr:colOff>
      <xdr:row>67</xdr:row>
      <xdr:rowOff>380999</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1CD5A3D7-03AD-014F-9C80-E5DBCF76E769}"/>
            </a:ext>
          </a:extLst>
        </xdr:cNvPr>
        <xdr:cNvSpPr/>
      </xdr:nvSpPr>
      <xdr:spPr>
        <a:xfrm>
          <a:off x="15376525" y="16408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110</xdr:row>
      <xdr:rowOff>447675</xdr:rowOff>
    </xdr:from>
    <xdr:to>
      <xdr:col>5</xdr:col>
      <xdr:colOff>2828925</xdr:colOff>
      <xdr:row>110</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7776588-9F0E-814E-9BAC-34DD056EAE67}"/>
            </a:ext>
          </a:extLst>
        </xdr:cNvPr>
        <xdr:cNvSpPr/>
      </xdr:nvSpPr>
      <xdr:spPr>
        <a:xfrm>
          <a:off x="15544800" y="12207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110</xdr:row>
      <xdr:rowOff>387351</xdr:rowOff>
    </xdr:from>
    <xdr:to>
      <xdr:col>5</xdr:col>
      <xdr:colOff>2901950</xdr:colOff>
      <xdr:row>110</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CAC8017-54D9-3D41-AC48-38E1375962FF}"/>
            </a:ext>
          </a:extLst>
        </xdr:cNvPr>
        <xdr:cNvSpPr/>
      </xdr:nvSpPr>
      <xdr:spPr>
        <a:xfrm>
          <a:off x="15554325" y="121983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110</xdr:row>
      <xdr:rowOff>12698</xdr:rowOff>
    </xdr:from>
    <xdr:to>
      <xdr:col>5</xdr:col>
      <xdr:colOff>2914650</xdr:colOff>
      <xdr:row>110</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A851E88-D3E9-A843-B857-6A2C52E117D5}"/>
            </a:ext>
          </a:extLst>
        </xdr:cNvPr>
        <xdr:cNvSpPr/>
      </xdr:nvSpPr>
      <xdr:spPr>
        <a:xfrm>
          <a:off x="15376525" y="120268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101</xdr:row>
      <xdr:rowOff>12698</xdr:rowOff>
    </xdr:from>
    <xdr:to>
      <xdr:col>5</xdr:col>
      <xdr:colOff>2914650</xdr:colOff>
      <xdr:row>101</xdr:row>
      <xdr:rowOff>380999</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34C5580B-13DD-4B47-AC7B-DB100B1272F8}"/>
            </a:ext>
          </a:extLst>
        </xdr:cNvPr>
        <xdr:cNvSpPr/>
      </xdr:nvSpPr>
      <xdr:spPr>
        <a:xfrm>
          <a:off x="15376525" y="11455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6349</xdr:colOff>
      <xdr:row>101</xdr:row>
      <xdr:rowOff>400050</xdr:rowOff>
    </xdr:from>
    <xdr:to>
      <xdr:col>5</xdr:col>
      <xdr:colOff>2733674</xdr:colOff>
      <xdr:row>101</xdr:row>
      <xdr:rowOff>714375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D03B3EC-FA98-014C-8FBF-CED8F7FD0E29}"/>
            </a:ext>
          </a:extLst>
        </xdr:cNvPr>
        <xdr:cNvSpPr/>
      </xdr:nvSpPr>
      <xdr:spPr>
        <a:xfrm>
          <a:off x="15551149" y="11626850"/>
          <a:ext cx="2727325" cy="9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201</xdr:row>
      <xdr:rowOff>447675</xdr:rowOff>
    </xdr:from>
    <xdr:to>
      <xdr:col>5</xdr:col>
      <xdr:colOff>0</xdr:colOff>
      <xdr:row>201</xdr:row>
      <xdr:rowOff>600075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6388354-4B36-9B47-9EF4-756778AFA43C}"/>
            </a:ext>
          </a:extLst>
        </xdr:cNvPr>
        <xdr:cNvSpPr/>
      </xdr:nvSpPr>
      <xdr:spPr>
        <a:xfrm>
          <a:off x="13289643" y="16785318"/>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201</xdr:row>
      <xdr:rowOff>387351</xdr:rowOff>
    </xdr:from>
    <xdr:to>
      <xdr:col>5</xdr:col>
      <xdr:colOff>0</xdr:colOff>
      <xdr:row>201</xdr:row>
      <xdr:rowOff>723901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EB33B92E-1EC7-8747-AD2C-2A357D82508B}"/>
            </a:ext>
          </a:extLst>
        </xdr:cNvPr>
        <xdr:cNvSpPr/>
      </xdr:nvSpPr>
      <xdr:spPr>
        <a:xfrm>
          <a:off x="13289643" y="16724994"/>
          <a:ext cx="0"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201</xdr:row>
      <xdr:rowOff>12698</xdr:rowOff>
    </xdr:from>
    <xdr:to>
      <xdr:col>5</xdr:col>
      <xdr:colOff>0</xdr:colOff>
      <xdr:row>201</xdr:row>
      <xdr:rowOff>380999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22911B43-A79A-3741-B926-EF28CDCB559B}"/>
            </a:ext>
          </a:extLst>
        </xdr:cNvPr>
        <xdr:cNvSpPr/>
      </xdr:nvSpPr>
      <xdr:spPr>
        <a:xfrm>
          <a:off x="13289643" y="16350341"/>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244</xdr:row>
      <xdr:rowOff>447675</xdr:rowOff>
    </xdr:from>
    <xdr:to>
      <xdr:col>5</xdr:col>
      <xdr:colOff>0</xdr:colOff>
      <xdr:row>244</xdr:row>
      <xdr:rowOff>549275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6297B903-E558-AC4B-A304-C7C72CEC867C}"/>
            </a:ext>
          </a:extLst>
        </xdr:cNvPr>
        <xdr:cNvSpPr/>
      </xdr:nvSpPr>
      <xdr:spPr>
        <a:xfrm>
          <a:off x="13289643" y="24151318"/>
          <a:ext cx="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244</xdr:row>
      <xdr:rowOff>387351</xdr:rowOff>
    </xdr:from>
    <xdr:to>
      <xdr:col>5</xdr:col>
      <xdr:colOff>0</xdr:colOff>
      <xdr:row>244</xdr:row>
      <xdr:rowOff>552451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B86AC273-9066-6440-A169-EFA24822A81D}"/>
            </a:ext>
          </a:extLst>
        </xdr:cNvPr>
        <xdr:cNvSpPr/>
      </xdr:nvSpPr>
      <xdr:spPr>
        <a:xfrm>
          <a:off x="13289643" y="24090994"/>
          <a:ext cx="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244</xdr:row>
      <xdr:rowOff>12698</xdr:rowOff>
    </xdr:from>
    <xdr:to>
      <xdr:col>5</xdr:col>
      <xdr:colOff>0</xdr:colOff>
      <xdr:row>244</xdr:row>
      <xdr:rowOff>380999</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AABDF698-C021-1D4F-B7B2-21AD9AC41E4E}"/>
            </a:ext>
          </a:extLst>
        </xdr:cNvPr>
        <xdr:cNvSpPr/>
      </xdr:nvSpPr>
      <xdr:spPr>
        <a:xfrm>
          <a:off x="13289643" y="23716341"/>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261</xdr:row>
      <xdr:rowOff>447675</xdr:rowOff>
    </xdr:from>
    <xdr:to>
      <xdr:col>5</xdr:col>
      <xdr:colOff>0</xdr:colOff>
      <xdr:row>261</xdr:row>
      <xdr:rowOff>549275</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83CBD40C-DADB-F740-8FF0-808B3C258E8A}"/>
            </a:ext>
          </a:extLst>
        </xdr:cNvPr>
        <xdr:cNvSpPr/>
      </xdr:nvSpPr>
      <xdr:spPr>
        <a:xfrm>
          <a:off x="13289643" y="26546175"/>
          <a:ext cx="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261</xdr:row>
      <xdr:rowOff>387351</xdr:rowOff>
    </xdr:from>
    <xdr:to>
      <xdr:col>5</xdr:col>
      <xdr:colOff>0</xdr:colOff>
      <xdr:row>261</xdr:row>
      <xdr:rowOff>552451</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5C1BD85F-520A-AB4A-9C46-F14ADA553E9F}"/>
            </a:ext>
          </a:extLst>
        </xdr:cNvPr>
        <xdr:cNvSpPr/>
      </xdr:nvSpPr>
      <xdr:spPr>
        <a:xfrm>
          <a:off x="13289643" y="26485851"/>
          <a:ext cx="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261</xdr:row>
      <xdr:rowOff>12698</xdr:rowOff>
    </xdr:from>
    <xdr:to>
      <xdr:col>5</xdr:col>
      <xdr:colOff>0</xdr:colOff>
      <xdr:row>261</xdr:row>
      <xdr:rowOff>380999</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AEB36397-C4F4-4C4D-8FC0-81538E572EE7}"/>
            </a:ext>
          </a:extLst>
        </xdr:cNvPr>
        <xdr:cNvSpPr/>
      </xdr:nvSpPr>
      <xdr:spPr>
        <a:xfrm>
          <a:off x="13289643" y="261111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105558</xdr:colOff>
      <xdr:row>17</xdr:row>
      <xdr:rowOff>105588</xdr:rowOff>
    </xdr:from>
    <xdr:to>
      <xdr:col>1</xdr:col>
      <xdr:colOff>5031055</xdr:colOff>
      <xdr:row>27</xdr:row>
      <xdr:rowOff>44450</xdr:rowOff>
    </xdr:to>
    <xdr:grpSp>
      <xdr:nvGrpSpPr>
        <xdr:cNvPr id="3" name="Group 2">
          <a:extLst>
            <a:ext uri="{FF2B5EF4-FFF2-40B4-BE49-F238E27FC236}">
              <a16:creationId xmlns:a16="http://schemas.microsoft.com/office/drawing/2014/main" id="{4F495D8B-DBB8-44E2-8733-548E06909968}"/>
            </a:ext>
          </a:extLst>
        </xdr:cNvPr>
        <xdr:cNvGrpSpPr/>
      </xdr:nvGrpSpPr>
      <xdr:grpSpPr>
        <a:xfrm>
          <a:off x="336063" y="5250993"/>
          <a:ext cx="4923592" cy="1840052"/>
          <a:chOff x="2473171" y="3786546"/>
          <a:chExt cx="6082700" cy="2980923"/>
        </a:xfrm>
      </xdr:grpSpPr>
      <xdr:sp macro="" textlink="">
        <xdr:nvSpPr>
          <xdr:cNvPr id="4" name="Freeform: Shape 3">
            <a:extLst>
              <a:ext uri="{FF2B5EF4-FFF2-40B4-BE49-F238E27FC236}">
                <a16:creationId xmlns:a16="http://schemas.microsoft.com/office/drawing/2014/main" id="{E0385CB6-F3CB-4719-AB51-CC9484B98B78}"/>
              </a:ext>
            </a:extLst>
          </xdr:cNvPr>
          <xdr:cNvSpPr/>
        </xdr:nvSpPr>
        <xdr:spPr>
          <a:xfrm rot="20358163">
            <a:off x="5250968" y="4546462"/>
            <a:ext cx="587054" cy="91439"/>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sp macro="" textlink="">
        <xdr:nvSpPr>
          <xdr:cNvPr id="5" name="Freeform: Shape 4">
            <a:extLst>
              <a:ext uri="{FF2B5EF4-FFF2-40B4-BE49-F238E27FC236}">
                <a16:creationId xmlns:a16="http://schemas.microsoft.com/office/drawing/2014/main" id="{59DADC57-8E7B-4FCF-ADC9-BB1D9F6AE971}"/>
              </a:ext>
            </a:extLst>
          </xdr:cNvPr>
          <xdr:cNvSpPr/>
        </xdr:nvSpPr>
        <xdr:spPr>
          <a:xfrm>
            <a:off x="2473171" y="4463120"/>
            <a:ext cx="2685449" cy="1611269"/>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Primary user</a:t>
            </a:r>
          </a:p>
        </xdr:txBody>
      </xdr:sp>
      <xdr:sp macro="" textlink="">
        <xdr:nvSpPr>
          <xdr:cNvPr id="6" name="Freeform: Shape 5">
            <a:extLst>
              <a:ext uri="{FF2B5EF4-FFF2-40B4-BE49-F238E27FC236}">
                <a16:creationId xmlns:a16="http://schemas.microsoft.com/office/drawing/2014/main" id="{605A9D66-D685-43DF-94CF-B48525FE5AC5}"/>
              </a:ext>
            </a:extLst>
          </xdr:cNvPr>
          <xdr:cNvSpPr/>
        </xdr:nvSpPr>
        <xdr:spPr>
          <a:xfrm rot="1276222">
            <a:off x="5201626" y="5916114"/>
            <a:ext cx="587053" cy="91439"/>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5" tIns="42631" rIns="290786"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sp macro="" textlink="">
        <xdr:nvSpPr>
          <xdr:cNvPr id="7" name="Freeform: Shape 6">
            <a:extLst>
              <a:ext uri="{FF2B5EF4-FFF2-40B4-BE49-F238E27FC236}">
                <a16:creationId xmlns:a16="http://schemas.microsoft.com/office/drawing/2014/main" id="{DAAC5DCE-D128-4966-BCB4-08CEDCC04383}"/>
              </a:ext>
            </a:extLst>
          </xdr:cNvPr>
          <xdr:cNvSpPr/>
        </xdr:nvSpPr>
        <xdr:spPr>
          <a:xfrm>
            <a:off x="5870421" y="3786546"/>
            <a:ext cx="2685450" cy="161127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Central MOH or other national ministry level or subnational government</a:t>
            </a:r>
          </a:p>
        </xdr:txBody>
      </xdr:sp>
      <xdr:sp macro="" textlink="">
        <xdr:nvSpPr>
          <xdr:cNvPr id="8" name="Freeform: Shape 7">
            <a:extLst>
              <a:ext uri="{FF2B5EF4-FFF2-40B4-BE49-F238E27FC236}">
                <a16:creationId xmlns:a16="http://schemas.microsoft.com/office/drawing/2014/main" id="{11DA071E-321B-4CE7-B525-90967C646630}"/>
              </a:ext>
            </a:extLst>
          </xdr:cNvPr>
          <xdr:cNvSpPr/>
        </xdr:nvSpPr>
        <xdr:spPr>
          <a:xfrm>
            <a:off x="5868130" y="5495954"/>
            <a:ext cx="2685450" cy="127151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Health facilities/HCWs/clients</a:t>
            </a:r>
          </a:p>
        </xdr:txBody>
      </xdr:sp>
    </xdr:grpSp>
    <xdr:clientData/>
  </xdr:twoCellAnchor>
  <xdr:twoCellAnchor>
    <xdr:from>
      <xdr:col>1</xdr:col>
      <xdr:colOff>5125233</xdr:colOff>
      <xdr:row>19</xdr:row>
      <xdr:rowOff>172263</xdr:rowOff>
    </xdr:from>
    <xdr:to>
      <xdr:col>2</xdr:col>
      <xdr:colOff>178009</xdr:colOff>
      <xdr:row>20</xdr:row>
      <xdr:rowOff>48296</xdr:rowOff>
    </xdr:to>
    <xdr:sp macro="" textlink="">
      <xdr:nvSpPr>
        <xdr:cNvPr id="9" name="Freeform: Shape 8">
          <a:extLst>
            <a:ext uri="{FF2B5EF4-FFF2-40B4-BE49-F238E27FC236}">
              <a16:creationId xmlns:a16="http://schemas.microsoft.com/office/drawing/2014/main" id="{4C12C377-73BD-4A51-B99A-DD29BF97E757}"/>
            </a:ext>
          </a:extLst>
        </xdr:cNvPr>
        <xdr:cNvSpPr/>
      </xdr:nvSpPr>
      <xdr:spPr>
        <a:xfrm>
          <a:off x="5372883" y="4001313"/>
          <a:ext cx="472501" cy="57008"/>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1</xdr:col>
      <xdr:colOff>5106183</xdr:colOff>
      <xdr:row>24</xdr:row>
      <xdr:rowOff>159563</xdr:rowOff>
    </xdr:from>
    <xdr:to>
      <xdr:col>2</xdr:col>
      <xdr:colOff>158959</xdr:colOff>
      <xdr:row>25</xdr:row>
      <xdr:rowOff>35596</xdr:rowOff>
    </xdr:to>
    <xdr:sp macro="" textlink="">
      <xdr:nvSpPr>
        <xdr:cNvPr id="10" name="Freeform: Shape 9">
          <a:extLst>
            <a:ext uri="{FF2B5EF4-FFF2-40B4-BE49-F238E27FC236}">
              <a16:creationId xmlns:a16="http://schemas.microsoft.com/office/drawing/2014/main" id="{4F882108-D5C2-47A6-AF6A-B7C38D22E06D}"/>
            </a:ext>
          </a:extLst>
        </xdr:cNvPr>
        <xdr:cNvSpPr/>
      </xdr:nvSpPr>
      <xdr:spPr>
        <a:xfrm>
          <a:off x="5353833" y="4893488"/>
          <a:ext cx="472501" cy="57008"/>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2</xdr:col>
      <xdr:colOff>336015</xdr:colOff>
      <xdr:row>17</xdr:row>
      <xdr:rowOff>134164</xdr:rowOff>
    </xdr:from>
    <xdr:to>
      <xdr:col>2</xdr:col>
      <xdr:colOff>3590925</xdr:colOff>
      <xdr:row>22</xdr:row>
      <xdr:rowOff>133351</xdr:rowOff>
    </xdr:to>
    <xdr:sp macro="" textlink="">
      <xdr:nvSpPr>
        <xdr:cNvPr id="11" name="Freeform: Shape 10">
          <a:extLst>
            <a:ext uri="{FF2B5EF4-FFF2-40B4-BE49-F238E27FC236}">
              <a16:creationId xmlns:a16="http://schemas.microsoft.com/office/drawing/2014/main" id="{C552C7B1-C83E-45EA-8B47-B2E9DB7AD918}"/>
            </a:ext>
          </a:extLst>
        </xdr:cNvPr>
        <xdr:cNvSpPr/>
      </xdr:nvSpPr>
      <xdr:spPr>
        <a:xfrm>
          <a:off x="6003390" y="3601264"/>
          <a:ext cx="3254910" cy="904062"/>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Is the implementation of the solution planned for scaling by end user (number of facilities, healthcare worker or client)?</a:t>
          </a:r>
        </a:p>
      </xdr:txBody>
    </xdr:sp>
    <xdr:clientData/>
  </xdr:twoCellAnchor>
  <xdr:twoCellAnchor>
    <xdr:from>
      <xdr:col>2</xdr:col>
      <xdr:colOff>334158</xdr:colOff>
      <xdr:row>23</xdr:row>
      <xdr:rowOff>54695</xdr:rowOff>
    </xdr:from>
    <xdr:to>
      <xdr:col>2</xdr:col>
      <xdr:colOff>3568700</xdr:colOff>
      <xdr:row>26</xdr:row>
      <xdr:rowOff>123825</xdr:rowOff>
    </xdr:to>
    <xdr:sp macro="" textlink="">
      <xdr:nvSpPr>
        <xdr:cNvPr id="13" name="Freeform: Shape 12">
          <a:extLst>
            <a:ext uri="{FF2B5EF4-FFF2-40B4-BE49-F238E27FC236}">
              <a16:creationId xmlns:a16="http://schemas.microsoft.com/office/drawing/2014/main" id="{20A7E3B1-A30D-4A62-9C47-FDB39AA9C69F}"/>
            </a:ext>
          </a:extLst>
        </xdr:cNvPr>
        <xdr:cNvSpPr/>
      </xdr:nvSpPr>
      <xdr:spPr>
        <a:xfrm>
          <a:off x="6001533" y="4607645"/>
          <a:ext cx="3234542" cy="61205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Include</a:t>
          </a:r>
          <a:r>
            <a:rPr lang="en-US" sz="1600" kern="1200" baseline="0"/>
            <a:t> inputs related to scaling by: </a:t>
          </a:r>
        </a:p>
      </xdr:txBody>
    </xdr:sp>
    <xdr:clientData/>
  </xdr:twoCellAnchor>
  <xdr:twoCellAnchor>
    <xdr:from>
      <xdr:col>1</xdr:col>
      <xdr:colOff>4941083</xdr:colOff>
      <xdr:row>18</xdr:row>
      <xdr:rowOff>67395</xdr:rowOff>
    </xdr:from>
    <xdr:to>
      <xdr:col>2</xdr:col>
      <xdr:colOff>396875</xdr:colOff>
      <xdr:row>20</xdr:row>
      <xdr:rowOff>0</xdr:rowOff>
    </xdr:to>
    <xdr:sp macro="" textlink="">
      <xdr:nvSpPr>
        <xdr:cNvPr id="14" name="Freeform: Shape 13">
          <a:extLst>
            <a:ext uri="{FF2B5EF4-FFF2-40B4-BE49-F238E27FC236}">
              <a16:creationId xmlns:a16="http://schemas.microsoft.com/office/drawing/2014/main" id="{85D8B504-A08D-4E4F-9389-42B56EC3355A}"/>
            </a:ext>
          </a:extLst>
        </xdr:cNvPr>
        <xdr:cNvSpPr/>
      </xdr:nvSpPr>
      <xdr:spPr>
        <a:xfrm>
          <a:off x="5188733" y="3715470"/>
          <a:ext cx="875517" cy="29455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Skip to</a:t>
          </a:r>
        </a:p>
      </xdr:txBody>
    </xdr:sp>
    <xdr:clientData/>
  </xdr:twoCellAnchor>
  <xdr:twoCellAnchor>
    <xdr:from>
      <xdr:col>2</xdr:col>
      <xdr:colOff>3755514</xdr:colOff>
      <xdr:row>18</xdr:row>
      <xdr:rowOff>48149</xdr:rowOff>
    </xdr:from>
    <xdr:to>
      <xdr:col>3</xdr:col>
      <xdr:colOff>411665</xdr:colOff>
      <xdr:row>18</xdr:row>
      <xdr:rowOff>101982</xdr:rowOff>
    </xdr:to>
    <xdr:sp macro="" textlink="">
      <xdr:nvSpPr>
        <xdr:cNvPr id="17" name="Freeform: Shape 16">
          <a:extLst>
            <a:ext uri="{FF2B5EF4-FFF2-40B4-BE49-F238E27FC236}">
              <a16:creationId xmlns:a16="http://schemas.microsoft.com/office/drawing/2014/main" id="{B89CB29F-0BB9-41E0-8030-3903F29CBB8C}"/>
            </a:ext>
          </a:extLst>
        </xdr:cNvPr>
        <xdr:cNvSpPr/>
      </xdr:nvSpPr>
      <xdr:spPr>
        <a:xfrm rot="20358163">
          <a:off x="9422889" y="3696224"/>
          <a:ext cx="485201" cy="53833"/>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2</xdr:col>
      <xdr:colOff>3649778</xdr:colOff>
      <xdr:row>22</xdr:row>
      <xdr:rowOff>76107</xdr:rowOff>
    </xdr:from>
    <xdr:to>
      <xdr:col>3</xdr:col>
      <xdr:colOff>239016</xdr:colOff>
      <xdr:row>24</xdr:row>
      <xdr:rowOff>121887</xdr:rowOff>
    </xdr:to>
    <xdr:sp macro="" textlink="">
      <xdr:nvSpPr>
        <xdr:cNvPr id="18" name="Arrow: U-Turn 17">
          <a:extLst>
            <a:ext uri="{FF2B5EF4-FFF2-40B4-BE49-F238E27FC236}">
              <a16:creationId xmlns:a16="http://schemas.microsoft.com/office/drawing/2014/main" id="{656237D1-8244-4BEF-8041-7500A7A997D5}"/>
            </a:ext>
          </a:extLst>
        </xdr:cNvPr>
        <xdr:cNvSpPr/>
      </xdr:nvSpPr>
      <xdr:spPr>
        <a:xfrm rot="5400000">
          <a:off x="9322432" y="4442803"/>
          <a:ext cx="407730" cy="418288"/>
        </a:xfrm>
        <a:prstGeom prst="uturnArrow">
          <a:avLst>
            <a:gd name="adj1" fmla="val 843"/>
            <a:gd name="adj2" fmla="val 25000"/>
            <a:gd name="adj3" fmla="val 35382"/>
            <a:gd name="adj4" fmla="val 37743"/>
            <a:gd name="adj5" fmla="val 75000"/>
          </a:avLst>
        </a:pr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5" tIns="42631" rIns="290786"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3</xdr:col>
      <xdr:colOff>431568</xdr:colOff>
      <xdr:row>17</xdr:row>
      <xdr:rowOff>19049</xdr:rowOff>
    </xdr:from>
    <xdr:to>
      <xdr:col>4</xdr:col>
      <xdr:colOff>1685925</xdr:colOff>
      <xdr:row>19</xdr:row>
      <xdr:rowOff>133350</xdr:rowOff>
    </xdr:to>
    <xdr:sp macro="" textlink="">
      <xdr:nvSpPr>
        <xdr:cNvPr id="19" name="Freeform: Shape 18">
          <a:extLst>
            <a:ext uri="{FF2B5EF4-FFF2-40B4-BE49-F238E27FC236}">
              <a16:creationId xmlns:a16="http://schemas.microsoft.com/office/drawing/2014/main" id="{BEECCDB8-B0A1-4D1B-AC44-D651C54C2FD6}"/>
            </a:ext>
          </a:extLst>
        </xdr:cNvPr>
        <xdr:cNvSpPr/>
      </xdr:nvSpPr>
      <xdr:spPr>
        <a:xfrm>
          <a:off x="9927993" y="4981574"/>
          <a:ext cx="1863957" cy="476251"/>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Skip</a:t>
          </a:r>
          <a:r>
            <a:rPr lang="en-US" sz="1600" kern="1200" baseline="0"/>
            <a:t> all inputs related to scaling </a:t>
          </a:r>
          <a:endParaRPr lang="en-US" sz="1600" kern="1200"/>
        </a:p>
      </xdr:txBody>
    </xdr:sp>
    <xdr:clientData/>
  </xdr:twoCellAnchor>
  <xdr:twoCellAnchor>
    <xdr:from>
      <xdr:col>2</xdr:col>
      <xdr:colOff>3533775</xdr:colOff>
      <xdr:row>15</xdr:row>
      <xdr:rowOff>149945</xdr:rowOff>
    </xdr:from>
    <xdr:to>
      <xdr:col>3</xdr:col>
      <xdr:colOff>444500</xdr:colOff>
      <xdr:row>18</xdr:row>
      <xdr:rowOff>92075</xdr:rowOff>
    </xdr:to>
    <xdr:sp macro="" textlink="">
      <xdr:nvSpPr>
        <xdr:cNvPr id="21" name="Freeform: Shape 20">
          <a:extLst>
            <a:ext uri="{FF2B5EF4-FFF2-40B4-BE49-F238E27FC236}">
              <a16:creationId xmlns:a16="http://schemas.microsoft.com/office/drawing/2014/main" id="{59E30676-A3C6-4915-B79F-2B318F0FD244}"/>
            </a:ext>
          </a:extLst>
        </xdr:cNvPr>
        <xdr:cNvSpPr/>
      </xdr:nvSpPr>
      <xdr:spPr>
        <a:xfrm>
          <a:off x="9201150" y="3436070"/>
          <a:ext cx="739775" cy="304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No</a:t>
          </a:r>
        </a:p>
      </xdr:txBody>
    </xdr:sp>
    <xdr:clientData/>
  </xdr:twoCellAnchor>
  <xdr:twoCellAnchor>
    <xdr:from>
      <xdr:col>2</xdr:col>
      <xdr:colOff>3589060</xdr:colOff>
      <xdr:row>21</xdr:row>
      <xdr:rowOff>31166</xdr:rowOff>
    </xdr:from>
    <xdr:to>
      <xdr:col>3</xdr:col>
      <xdr:colOff>487249</xdr:colOff>
      <xdr:row>22</xdr:row>
      <xdr:rowOff>68826</xdr:rowOff>
    </xdr:to>
    <xdr:sp macro="" textlink="">
      <xdr:nvSpPr>
        <xdr:cNvPr id="22" name="Freeform: Shape 21">
          <a:extLst>
            <a:ext uri="{FF2B5EF4-FFF2-40B4-BE49-F238E27FC236}">
              <a16:creationId xmlns:a16="http://schemas.microsoft.com/office/drawing/2014/main" id="{05719F3A-E43A-4A7C-8023-68AB71DCB108}"/>
            </a:ext>
          </a:extLst>
        </xdr:cNvPr>
        <xdr:cNvSpPr/>
      </xdr:nvSpPr>
      <xdr:spPr>
        <a:xfrm>
          <a:off x="9256435" y="4222166"/>
          <a:ext cx="727239" cy="21863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Yes</a:t>
          </a:r>
        </a:p>
      </xdr:txBody>
    </xdr:sp>
    <xdr:clientData/>
  </xdr:twoCellAnchor>
  <xdr:twoCellAnchor>
    <xdr:from>
      <xdr:col>2</xdr:col>
      <xdr:colOff>73808</xdr:colOff>
      <xdr:row>27</xdr:row>
      <xdr:rowOff>48345</xdr:rowOff>
    </xdr:from>
    <xdr:to>
      <xdr:col>2</xdr:col>
      <xdr:colOff>1225550</xdr:colOff>
      <xdr:row>31</xdr:row>
      <xdr:rowOff>6350</xdr:rowOff>
    </xdr:to>
    <xdr:sp macro="" textlink="">
      <xdr:nvSpPr>
        <xdr:cNvPr id="23" name="Freeform: Shape 22">
          <a:extLst>
            <a:ext uri="{FF2B5EF4-FFF2-40B4-BE49-F238E27FC236}">
              <a16:creationId xmlns:a16="http://schemas.microsoft.com/office/drawing/2014/main" id="{A5DF668B-F887-4400-89E6-956FA00D87E9}"/>
            </a:ext>
          </a:extLst>
        </xdr:cNvPr>
        <xdr:cNvSpPr/>
      </xdr:nvSpPr>
      <xdr:spPr>
        <a:xfrm>
          <a:off x="5741183" y="5325195"/>
          <a:ext cx="1151742" cy="68190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 of health facilities</a:t>
          </a:r>
          <a:r>
            <a:rPr lang="en-US" sz="1600" kern="1200" baseline="0"/>
            <a:t> </a:t>
          </a:r>
          <a:endParaRPr lang="en-US" sz="1600" kern="1200"/>
        </a:p>
      </xdr:txBody>
    </xdr:sp>
    <xdr:clientData/>
  </xdr:twoCellAnchor>
  <xdr:twoCellAnchor>
    <xdr:from>
      <xdr:col>2</xdr:col>
      <xdr:colOff>1600983</xdr:colOff>
      <xdr:row>27</xdr:row>
      <xdr:rowOff>48345</xdr:rowOff>
    </xdr:from>
    <xdr:to>
      <xdr:col>2</xdr:col>
      <xdr:colOff>2495550</xdr:colOff>
      <xdr:row>31</xdr:row>
      <xdr:rowOff>9525</xdr:rowOff>
    </xdr:to>
    <xdr:sp macro="" textlink="">
      <xdr:nvSpPr>
        <xdr:cNvPr id="24" name="Freeform: Shape 23">
          <a:extLst>
            <a:ext uri="{FF2B5EF4-FFF2-40B4-BE49-F238E27FC236}">
              <a16:creationId xmlns:a16="http://schemas.microsoft.com/office/drawing/2014/main" id="{669CBB1B-3B7A-4F59-9059-9BEEF1C51E74}"/>
            </a:ext>
          </a:extLst>
        </xdr:cNvPr>
        <xdr:cNvSpPr/>
      </xdr:nvSpPr>
      <xdr:spPr>
        <a:xfrm>
          <a:off x="7268358" y="5325195"/>
          <a:ext cx="894567" cy="685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 of HCWs </a:t>
          </a:r>
        </a:p>
      </xdr:txBody>
    </xdr:sp>
    <xdr:clientData/>
  </xdr:twoCellAnchor>
  <xdr:twoCellAnchor>
    <xdr:from>
      <xdr:col>2</xdr:col>
      <xdr:colOff>2847976</xdr:colOff>
      <xdr:row>27</xdr:row>
      <xdr:rowOff>38820</xdr:rowOff>
    </xdr:from>
    <xdr:to>
      <xdr:col>2</xdr:col>
      <xdr:colOff>3781426</xdr:colOff>
      <xdr:row>31</xdr:row>
      <xdr:rowOff>0</xdr:rowOff>
    </xdr:to>
    <xdr:sp macro="" textlink="">
      <xdr:nvSpPr>
        <xdr:cNvPr id="25" name="Freeform: Shape 24">
          <a:extLst>
            <a:ext uri="{FF2B5EF4-FFF2-40B4-BE49-F238E27FC236}">
              <a16:creationId xmlns:a16="http://schemas.microsoft.com/office/drawing/2014/main" id="{6624510C-6119-4D8D-A8B2-711B8BB64447}"/>
            </a:ext>
          </a:extLst>
        </xdr:cNvPr>
        <xdr:cNvSpPr/>
      </xdr:nvSpPr>
      <xdr:spPr>
        <a:xfrm>
          <a:off x="8515351" y="5315670"/>
          <a:ext cx="933450" cy="685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 of clients</a:t>
          </a:r>
        </a:p>
      </xdr:txBody>
    </xdr:sp>
    <xdr:clientData/>
  </xdr:twoCellAnchor>
  <xdr:twoCellAnchor>
    <xdr:from>
      <xdr:col>2</xdr:col>
      <xdr:colOff>1153308</xdr:colOff>
      <xdr:row>28</xdr:row>
      <xdr:rowOff>64220</xdr:rowOff>
    </xdr:from>
    <xdr:to>
      <xdr:col>2</xdr:col>
      <xdr:colOff>1724025</xdr:colOff>
      <xdr:row>30</xdr:row>
      <xdr:rowOff>6350</xdr:rowOff>
    </xdr:to>
    <xdr:sp macro="" textlink="">
      <xdr:nvSpPr>
        <xdr:cNvPr id="26" name="Freeform: Shape 25">
          <a:extLst>
            <a:ext uri="{FF2B5EF4-FFF2-40B4-BE49-F238E27FC236}">
              <a16:creationId xmlns:a16="http://schemas.microsoft.com/office/drawing/2014/main" id="{692A866E-85AE-454E-84FD-9C4676FF884F}"/>
            </a:ext>
          </a:extLst>
        </xdr:cNvPr>
        <xdr:cNvSpPr/>
      </xdr:nvSpPr>
      <xdr:spPr>
        <a:xfrm>
          <a:off x="6820683" y="5522045"/>
          <a:ext cx="570717" cy="304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OR</a:t>
          </a:r>
        </a:p>
      </xdr:txBody>
    </xdr:sp>
    <xdr:clientData/>
  </xdr:twoCellAnchor>
  <xdr:twoCellAnchor>
    <xdr:from>
      <xdr:col>2</xdr:col>
      <xdr:colOff>2416958</xdr:colOff>
      <xdr:row>28</xdr:row>
      <xdr:rowOff>67395</xdr:rowOff>
    </xdr:from>
    <xdr:to>
      <xdr:col>2</xdr:col>
      <xdr:colOff>2987675</xdr:colOff>
      <xdr:row>30</xdr:row>
      <xdr:rowOff>9525</xdr:rowOff>
    </xdr:to>
    <xdr:sp macro="" textlink="">
      <xdr:nvSpPr>
        <xdr:cNvPr id="27" name="Freeform: Shape 26">
          <a:extLst>
            <a:ext uri="{FF2B5EF4-FFF2-40B4-BE49-F238E27FC236}">
              <a16:creationId xmlns:a16="http://schemas.microsoft.com/office/drawing/2014/main" id="{C2146523-9EAE-4A65-A3F7-876D8B372626}"/>
            </a:ext>
          </a:extLst>
        </xdr:cNvPr>
        <xdr:cNvSpPr/>
      </xdr:nvSpPr>
      <xdr:spPr>
        <a:xfrm>
          <a:off x="8084333" y="5525220"/>
          <a:ext cx="570717" cy="304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OR</a:t>
          </a:r>
        </a:p>
      </xdr:txBody>
    </xdr:sp>
    <xdr:clientData/>
  </xdr:twoCellAnchor>
  <xdr:twoCellAnchor>
    <xdr:from>
      <xdr:col>3</xdr:col>
      <xdr:colOff>209550</xdr:colOff>
      <xdr:row>1</xdr:row>
      <xdr:rowOff>19050</xdr:rowOff>
    </xdr:from>
    <xdr:to>
      <xdr:col>3</xdr:col>
      <xdr:colOff>419100</xdr:colOff>
      <xdr:row>4</xdr:row>
      <xdr:rowOff>342900</xdr:rowOff>
    </xdr:to>
    <xdr:sp macro="" textlink="">
      <xdr:nvSpPr>
        <xdr:cNvPr id="28" name="Right Brace 27">
          <a:extLst>
            <a:ext uri="{FF2B5EF4-FFF2-40B4-BE49-F238E27FC236}">
              <a16:creationId xmlns:a16="http://schemas.microsoft.com/office/drawing/2014/main" id="{4B2A7C13-914D-42C5-919C-9E52FE846B7F}"/>
            </a:ext>
          </a:extLst>
        </xdr:cNvPr>
        <xdr:cNvSpPr/>
      </xdr:nvSpPr>
      <xdr:spPr>
        <a:xfrm>
          <a:off x="9705975" y="200025"/>
          <a:ext cx="209550" cy="10572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244034</xdr:colOff>
      <xdr:row>41</xdr:row>
      <xdr:rowOff>39712</xdr:rowOff>
    </xdr:from>
    <xdr:to>
      <xdr:col>3</xdr:col>
      <xdr:colOff>221383</xdr:colOff>
      <xdr:row>60</xdr:row>
      <xdr:rowOff>129355</xdr:rowOff>
    </xdr:to>
    <xdr:graphicFrame macro="">
      <xdr:nvGraphicFramePr>
        <xdr:cNvPr id="5" name="Chart 4">
          <a:extLst>
            <a:ext uri="{FF2B5EF4-FFF2-40B4-BE49-F238E27FC236}">
              <a16:creationId xmlns:a16="http://schemas.microsoft.com/office/drawing/2014/main" id="{AD0D2C78-1986-46F3-9838-B6EA078EBB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41</xdr:row>
      <xdr:rowOff>46131</xdr:rowOff>
    </xdr:from>
    <xdr:to>
      <xdr:col>6</xdr:col>
      <xdr:colOff>3454399</xdr:colOff>
      <xdr:row>60</xdr:row>
      <xdr:rowOff>120073</xdr:rowOff>
    </xdr:to>
    <xdr:graphicFrame macro="">
      <xdr:nvGraphicFramePr>
        <xdr:cNvPr id="6" name="Chart 5">
          <a:extLst>
            <a:ext uri="{FF2B5EF4-FFF2-40B4-BE49-F238E27FC236}">
              <a16:creationId xmlns:a16="http://schemas.microsoft.com/office/drawing/2014/main" id="{C4B7663C-A01C-4D5D-9CCF-21EE74B82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392205</xdr:colOff>
      <xdr:row>58</xdr:row>
      <xdr:rowOff>179295</xdr:rowOff>
    </xdr:from>
    <xdr:to>
      <xdr:col>2</xdr:col>
      <xdr:colOff>1311088</xdr:colOff>
      <xdr:row>60</xdr:row>
      <xdr:rowOff>44823</xdr:rowOff>
    </xdr:to>
    <xdr:sp macro="" textlink="">
      <xdr:nvSpPr>
        <xdr:cNvPr id="2" name="Rectangle 1">
          <a:extLst>
            <a:ext uri="{FF2B5EF4-FFF2-40B4-BE49-F238E27FC236}">
              <a16:creationId xmlns:a16="http://schemas.microsoft.com/office/drawing/2014/main" id="{A65A917C-EF64-474A-F71C-8C6F3209113F}"/>
            </a:ext>
          </a:extLst>
        </xdr:cNvPr>
        <xdr:cNvSpPr/>
      </xdr:nvSpPr>
      <xdr:spPr>
        <a:xfrm>
          <a:off x="2689411" y="9256060"/>
          <a:ext cx="918883" cy="2465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Implantação</a:t>
          </a:r>
        </a:p>
      </xdr:txBody>
    </xdr:sp>
    <xdr:clientData/>
  </xdr:twoCellAnchor>
  <xdr:twoCellAnchor>
    <xdr:from>
      <xdr:col>6</xdr:col>
      <xdr:colOff>313764</xdr:colOff>
      <xdr:row>58</xdr:row>
      <xdr:rowOff>168088</xdr:rowOff>
    </xdr:from>
    <xdr:to>
      <xdr:col>6</xdr:col>
      <xdr:colOff>1232647</xdr:colOff>
      <xdr:row>60</xdr:row>
      <xdr:rowOff>33616</xdr:rowOff>
    </xdr:to>
    <xdr:sp macro="" textlink="">
      <xdr:nvSpPr>
        <xdr:cNvPr id="4" name="Rectangle 3">
          <a:extLst>
            <a:ext uri="{FF2B5EF4-FFF2-40B4-BE49-F238E27FC236}">
              <a16:creationId xmlns:a16="http://schemas.microsoft.com/office/drawing/2014/main" id="{DFF8FBB5-6641-4236-9DDD-864D6B79C4D8}"/>
            </a:ext>
          </a:extLst>
        </xdr:cNvPr>
        <xdr:cNvSpPr/>
      </xdr:nvSpPr>
      <xdr:spPr>
        <a:xfrm>
          <a:off x="8012205" y="9244853"/>
          <a:ext cx="918883" cy="246528"/>
        </a:xfrm>
        <a:prstGeom prst="rect">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Implantação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24</xdr:row>
      <xdr:rowOff>447675</xdr:rowOff>
    </xdr:from>
    <xdr:to>
      <xdr:col>4</xdr:col>
      <xdr:colOff>2828925</xdr:colOff>
      <xdr:row>24</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0013D7-E2DD-BA46-849D-579D0A3D35C2}"/>
            </a:ext>
          </a:extLst>
        </xdr:cNvPr>
        <xdr:cNvSpPr/>
      </xdr:nvSpPr>
      <xdr:spPr>
        <a:xfrm>
          <a:off x="14503400" y="94138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24</xdr:row>
      <xdr:rowOff>387351</xdr:rowOff>
    </xdr:from>
    <xdr:to>
      <xdr:col>4</xdr:col>
      <xdr:colOff>2901950</xdr:colOff>
      <xdr:row>24</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E3AA070-1637-E44A-8FA9-27E7A4C0F76F}"/>
            </a:ext>
          </a:extLst>
        </xdr:cNvPr>
        <xdr:cNvSpPr/>
      </xdr:nvSpPr>
      <xdr:spPr>
        <a:xfrm>
          <a:off x="14512925" y="93535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24</xdr:row>
      <xdr:rowOff>12698</xdr:rowOff>
    </xdr:from>
    <xdr:to>
      <xdr:col>4</xdr:col>
      <xdr:colOff>2914650</xdr:colOff>
      <xdr:row>24</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D3AA8AE2-A488-1A4D-B85C-051EEF44E819}"/>
            </a:ext>
          </a:extLst>
        </xdr:cNvPr>
        <xdr:cNvSpPr/>
      </xdr:nvSpPr>
      <xdr:spPr>
        <a:xfrm>
          <a:off x="14503400" y="89788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12698</xdr:rowOff>
    </xdr:from>
    <xdr:to>
      <xdr:col>4</xdr:col>
      <xdr:colOff>2914650</xdr:colOff>
      <xdr:row>21</xdr:row>
      <xdr:rowOff>380999</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B549EED0-762E-6042-9A0C-53E369D27E38}"/>
            </a:ext>
          </a:extLst>
        </xdr:cNvPr>
        <xdr:cNvSpPr/>
      </xdr:nvSpPr>
      <xdr:spPr>
        <a:xfrm>
          <a:off x="14503400" y="79755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6349</xdr:colOff>
      <xdr:row>21</xdr:row>
      <xdr:rowOff>400050</xdr:rowOff>
    </xdr:from>
    <xdr:to>
      <xdr:col>4</xdr:col>
      <xdr:colOff>2733674</xdr:colOff>
      <xdr:row>21</xdr:row>
      <xdr:rowOff>714375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DD3B5A0-9AC3-B647-81C0-548656BCA273}"/>
            </a:ext>
          </a:extLst>
        </xdr:cNvPr>
        <xdr:cNvSpPr/>
      </xdr:nvSpPr>
      <xdr:spPr>
        <a:xfrm>
          <a:off x="14509749" y="8362950"/>
          <a:ext cx="2727325" cy="212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447675</xdr:rowOff>
    </xdr:from>
    <xdr:to>
      <xdr:col>4</xdr:col>
      <xdr:colOff>2828925</xdr:colOff>
      <xdr:row>38</xdr:row>
      <xdr:rowOff>600075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A5FF7356-026D-5E4F-9015-6EB893E64BB2}"/>
            </a:ext>
          </a:extLst>
        </xdr:cNvPr>
        <xdr:cNvSpPr/>
      </xdr:nvSpPr>
      <xdr:spPr>
        <a:xfrm>
          <a:off x="14503400" y="168941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38</xdr:row>
      <xdr:rowOff>387351</xdr:rowOff>
    </xdr:from>
    <xdr:to>
      <xdr:col>4</xdr:col>
      <xdr:colOff>2901950</xdr:colOff>
      <xdr:row>38</xdr:row>
      <xdr:rowOff>723901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F1D0D8C8-7CFC-314B-924D-DDBE1F14CE34}"/>
            </a:ext>
          </a:extLst>
        </xdr:cNvPr>
        <xdr:cNvSpPr/>
      </xdr:nvSpPr>
      <xdr:spPr>
        <a:xfrm>
          <a:off x="14512925" y="168338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12698</xdr:rowOff>
    </xdr:from>
    <xdr:to>
      <xdr:col>4</xdr:col>
      <xdr:colOff>2914650</xdr:colOff>
      <xdr:row>38</xdr:row>
      <xdr:rowOff>380999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651B5553-0A99-A248-B7A3-3B1D8367F1CE}"/>
            </a:ext>
          </a:extLst>
        </xdr:cNvPr>
        <xdr:cNvSpPr/>
      </xdr:nvSpPr>
      <xdr:spPr>
        <a:xfrm>
          <a:off x="14503400" y="164591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55</xdr:row>
      <xdr:rowOff>447675</xdr:rowOff>
    </xdr:from>
    <xdr:to>
      <xdr:col>4</xdr:col>
      <xdr:colOff>2828925</xdr:colOff>
      <xdr:row>55</xdr:row>
      <xdr:rowOff>600075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A3212FB0-8B36-834D-B135-BFA0BD86B5CA}"/>
            </a:ext>
          </a:extLst>
        </xdr:cNvPr>
        <xdr:cNvSpPr/>
      </xdr:nvSpPr>
      <xdr:spPr>
        <a:xfrm>
          <a:off x="14503400" y="247808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55</xdr:row>
      <xdr:rowOff>387351</xdr:rowOff>
    </xdr:from>
    <xdr:to>
      <xdr:col>4</xdr:col>
      <xdr:colOff>2901950</xdr:colOff>
      <xdr:row>55</xdr:row>
      <xdr:rowOff>723901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2656F8B0-834C-AB42-864B-5389CB72FFD0}"/>
            </a:ext>
          </a:extLst>
        </xdr:cNvPr>
        <xdr:cNvSpPr/>
      </xdr:nvSpPr>
      <xdr:spPr>
        <a:xfrm>
          <a:off x="14512925" y="24720551"/>
          <a:ext cx="28924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55</xdr:row>
      <xdr:rowOff>12698</xdr:rowOff>
    </xdr:from>
    <xdr:to>
      <xdr:col>4</xdr:col>
      <xdr:colOff>2914650</xdr:colOff>
      <xdr:row>55</xdr:row>
      <xdr:rowOff>380999</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25A1AAB0-1509-EA4F-ABB6-B05BCED546FD}"/>
            </a:ext>
          </a:extLst>
        </xdr:cNvPr>
        <xdr:cNvSpPr/>
      </xdr:nvSpPr>
      <xdr:spPr>
        <a:xfrm>
          <a:off x="14503400" y="243458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63</xdr:row>
      <xdr:rowOff>447675</xdr:rowOff>
    </xdr:from>
    <xdr:to>
      <xdr:col>4</xdr:col>
      <xdr:colOff>2828925</xdr:colOff>
      <xdr:row>63</xdr:row>
      <xdr:rowOff>600075</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1B2A8E3A-7A24-BA47-93C7-994B0929DC28}"/>
            </a:ext>
          </a:extLst>
        </xdr:cNvPr>
        <xdr:cNvSpPr/>
      </xdr:nvSpPr>
      <xdr:spPr>
        <a:xfrm>
          <a:off x="14503400" y="273970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63</xdr:row>
      <xdr:rowOff>387351</xdr:rowOff>
    </xdr:from>
    <xdr:to>
      <xdr:col>4</xdr:col>
      <xdr:colOff>2901950</xdr:colOff>
      <xdr:row>63</xdr:row>
      <xdr:rowOff>723901</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808E1A35-A9F6-4548-8649-60DBF4B48689}"/>
            </a:ext>
          </a:extLst>
        </xdr:cNvPr>
        <xdr:cNvSpPr/>
      </xdr:nvSpPr>
      <xdr:spPr>
        <a:xfrm>
          <a:off x="14512925" y="27336751"/>
          <a:ext cx="28924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63</xdr:row>
      <xdr:rowOff>12698</xdr:rowOff>
    </xdr:from>
    <xdr:to>
      <xdr:col>4</xdr:col>
      <xdr:colOff>2914650</xdr:colOff>
      <xdr:row>63</xdr:row>
      <xdr:rowOff>380999</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AC140256-41A5-A248-8656-F1F408FAAA7A}"/>
            </a:ext>
          </a:extLst>
        </xdr:cNvPr>
        <xdr:cNvSpPr/>
      </xdr:nvSpPr>
      <xdr:spPr>
        <a:xfrm>
          <a:off x="14503400" y="269620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xdr:row>
      <xdr:rowOff>12700</xdr:rowOff>
    </xdr:from>
    <xdr:to>
      <xdr:col>0</xdr:col>
      <xdr:colOff>2781300</xdr:colOff>
      <xdr:row>3</xdr:row>
      <xdr:rowOff>165100</xdr:rowOff>
    </xdr:to>
    <xdr:sp macro="" textlink="">
      <xdr:nvSpPr>
        <xdr:cNvPr id="17" name="Rounded Rectangle 16">
          <a:hlinkClick xmlns:r="http://schemas.openxmlformats.org/officeDocument/2006/relationships" r:id="rId5" tooltip="Go to Input sheet"/>
          <a:extLst>
            <a:ext uri="{FF2B5EF4-FFF2-40B4-BE49-F238E27FC236}">
              <a16:creationId xmlns:a16="http://schemas.microsoft.com/office/drawing/2014/main" id="{9F0983EC-E86B-B843-BA97-2A6407A5CC32}"/>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12700</xdr:rowOff>
    </xdr:from>
    <xdr:to>
      <xdr:col>0</xdr:col>
      <xdr:colOff>2781300</xdr:colOff>
      <xdr:row>4</xdr:row>
      <xdr:rowOff>165100</xdr:rowOff>
    </xdr:to>
    <xdr:sp macro="" textlink="">
      <xdr:nvSpPr>
        <xdr:cNvPr id="2" name="Rounded Rectangle 1">
          <a:hlinkClick xmlns:r="http://schemas.openxmlformats.org/officeDocument/2006/relationships" r:id="rId1" tooltip="Go to Input sheet"/>
          <a:extLst>
            <a:ext uri="{FF2B5EF4-FFF2-40B4-BE49-F238E27FC236}">
              <a16:creationId xmlns:a16="http://schemas.microsoft.com/office/drawing/2014/main" id="{D41881B4-AAE6-9141-AC5F-951B6FAB4D1C}"/>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thseattle-my.sharepoint.com/Volumes/GoogleDrive/My%20Drive/PATH/5.%20BMGF-DICE/TCO/TCO_v1.0_2022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O_v1.0_20221129"/>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Jenna Fritz" id="{80F54E89-0D5A-408E-BECD-6FA5B769288A}" userId="S::jfritz@path.org::8bfb85ae-0e2a-45e6-8fc6-3c1016f78b2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2:B4" totalsRowShown="0">
  <autoFilter ref="B2:B4" xr:uid="{00000000-0009-0000-0100-000003000000}"/>
  <tableColumns count="1">
    <tableColumn id="1" xr3:uid="{00000000-0010-0000-0000-000001000000}" name="Hosting selected"/>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D2:D5" totalsRowShown="0">
  <autoFilter ref="D2:D5" xr:uid="{00000000-0009-0000-0100-000004000000}"/>
  <tableColumns count="1">
    <tableColumn id="1" xr3:uid="{00000000-0010-0000-0100-000001000000}" name="Hosting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8:D10" totalsRowShown="0" tableBorderDxfId="77">
  <autoFilter ref="B8:D10" xr:uid="{00000000-0009-0000-0100-000006000000}"/>
  <tableColumns count="3">
    <tableColumn id="1" xr3:uid="{00000000-0010-0000-0200-000001000000}" name="Hosting in-house on premise"/>
    <tableColumn id="2" xr3:uid="{00000000-0010-0000-0200-000002000000}" name="Hosting offsite at data center"/>
    <tableColumn id="3" xr3:uid="{00000000-0010-0000-0200-000003000000}" name="Hosting through a third-party cloud service (local or international)"/>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2:K159" totalsRowShown="0" dataDxfId="76">
  <autoFilter ref="A2:K159" xr:uid="{00000000-0009-0000-0100-000001000000}"/>
  <sortState xmlns:xlrd2="http://schemas.microsoft.com/office/spreadsheetml/2017/richdata2" ref="A3:B159">
    <sortCondition ref="A2:A159"/>
  </sortState>
  <tableColumns count="11">
    <tableColumn id="1" xr3:uid="{00000000-0010-0000-0300-000001000000}" name="Country" dataDxfId="75"/>
    <tableColumn id="2" xr3:uid="{00000000-0010-0000-0300-000002000000}" name="Market Segment Maturity" dataDxfId="74"/>
    <tableColumn id="3" xr3:uid="{00000000-0010-0000-0300-000003000000}" name="currency" dataDxfId="73"/>
    <tableColumn id="4" xr3:uid="{00000000-0010-0000-0300-000004000000}" name="5" dataDxfId="72"/>
    <tableColumn id="5" xr3:uid="{00000000-0010-0000-0300-000005000000}" name="6" dataDxfId="71"/>
    <tableColumn id="6" xr3:uid="{00000000-0010-0000-0300-000006000000}" name="7" dataDxfId="70"/>
    <tableColumn id="7" xr3:uid="{00000000-0010-0000-0300-000007000000}" name="NO-A" dataDxfId="69"/>
    <tableColumn id="8" xr3:uid="{00000000-0010-0000-0300-000008000000}" name="NO-B" dataDxfId="68"/>
    <tableColumn id="9" xr3:uid="{00000000-0010-0000-0300-000009000000}" name="NO-C" dataDxfId="67"/>
    <tableColumn id="10" xr3:uid="{00000000-0010-0000-0300-00000A000000}" name="NO-D" dataDxfId="66"/>
    <tableColumn id="11" xr3:uid="{00000000-0010-0000-0300-00000B000000}" name="Multiplier" dataDxfId="6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 dT="2021-09-16T15:10:37.77" personId="{80F54E89-0D5A-408E-BECD-6FA5B769288A}" id="{CCBFAEB8-58C0-4147-AA84-E31EE63BA0AF}">
    <text>Instead of some of these scenarios, could simply have notes next to each option so the tool itself would not adjust but the user could see how costs would change based on these options.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G1" dT="2021-09-09T16:30:39.45" personId="{80F54E89-0D5A-408E-BECD-6FA5B769288A}" id="{0DB25C53-72D3-4912-8133-EB6785EC099A}">
    <text>There are more details in the Excel document (https://path.ent.box.com/file/756319051601?s=jaq3x54uwhr3m8n1y9bwdsspy9582nr0) and the report which I believe are linked (https://path.ent.box.com/file/756317862355?s=505jnhxy8fkcug44tkbf74bnwhw3aoph). I added what seemed reasonable from these documents. The report also has which costs will be different based on build/buy/outsource.</text>
  </threadedComment>
  <threadedComment ref="K1" dT="2021-09-09T23:13:44.43" personId="{80F54E89-0D5A-408E-BECD-6FA5B769288A}" id="{85F5E5B9-03D5-490D-BF84-34CB5E36F4E7}">
    <text>I had a hard time mapping these to the other ones since the categories are so broad and cross cutting.</text>
  </threadedComment>
</ThreadedComments>
</file>

<file path=xl/worksheets/_rels/sheet1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8" Type="http://schemas.openxmlformats.org/officeDocument/2006/relationships/hyperlink" Target="https://static1.squarespace.com/static/59bc3457ccc5c5890fe7cacd/t/60f85f249f074421d46b1f5d/1626890024524/Digital+Square+Vital+Wave+TCO+Reference+Document_final.pdf" TargetMode="External"/><Relationship Id="rId13" Type="http://schemas.openxmlformats.org/officeDocument/2006/relationships/hyperlink" Target="https://static1.squarespace.com/static/59bc3457ccc5c5890fe7cacd/t/60f85f249f074421d46b1f5d/1626890024524/Digital+Square+Vital+Wave+TCO+Reference+Document_final.pdf" TargetMode="External"/><Relationship Id="rId18" Type="http://schemas.openxmlformats.org/officeDocument/2006/relationships/hyperlink" Target="https://static1.squarespace.com/static/59bc3457ccc5c5890fe7cacd/t/60f85f249f074421d46b1f5d/1626890024524/Digital+Square+Vital+Wave+TCO+Reference+Document_final.pdf" TargetMode="External"/><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17"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www.dimagi.com/toolkits/total-cost-ownership/" TargetMode="External"/><Relationship Id="rId16"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static1.squarespace.com/static/59bc3457ccc5c5890fe7cacd/t/60f85f249f074421d46b1f5d/1626890024524/Digital+Square+Vital+Wave+TCO+Reference+Document_final.pdf" TargetMode="External"/><Relationship Id="rId5" Type="http://schemas.openxmlformats.org/officeDocument/2006/relationships/hyperlink" Target="https://www.dimagi.com/toolkits/total-cost-ownership/"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path.azureedge.net/media/documents/Tanzania_Digital_Health_Investment_Road_Map.2017_to_2023.pdf" TargetMode="External"/><Relationship Id="rId19" Type="http://schemas.openxmlformats.org/officeDocument/2006/relationships/drawing" Target="../drawings/drawing8.xml"/><Relationship Id="rId4" Type="http://schemas.openxmlformats.org/officeDocument/2006/relationships/hyperlink" Target="https://www.dimagi.com/toolkits/total-cost-ownership/" TargetMode="External"/><Relationship Id="rId9" Type="http://schemas.openxmlformats.org/officeDocument/2006/relationships/hyperlink" Target="https://static1.squarespace.com/static/59bc3457ccc5c5890fe7cacd/t/60f85f249f074421d46b1f5d/1626890024524/Digital+Square+Vital+Wave+TCO+Reference+Document_final.pdf" TargetMode="External"/><Relationship Id="rId14" Type="http://schemas.openxmlformats.org/officeDocument/2006/relationships/hyperlink" Target="https://path.azureedge.net/media/documents/Tanzania_Digital_Health_Investment_Road_Map.2017_to_2023.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gitalSquareTCO@path.org" TargetMode="External"/></Relationships>
</file>

<file path=xl/worksheets/_rels/sheet20.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igitalsquare.org/market-analytics" TargetMode="External"/><Relationship Id="rId7" Type="http://schemas.openxmlformats.org/officeDocument/2006/relationships/drawing" Target="../drawings/drawing9.xml"/><Relationship Id="rId2" Type="http://schemas.openxmlformats.org/officeDocument/2006/relationships/hyperlink" Target="https://academic.oup.com/heapol/article/35/1/107/5591528" TargetMode="External"/><Relationship Id="rId1" Type="http://schemas.openxmlformats.org/officeDocument/2006/relationships/hyperlink" Target="https://www1.oanda.com/currency/converter/" TargetMode="External"/><Relationship Id="rId6" Type="http://schemas.openxmlformats.org/officeDocument/2006/relationships/printerSettings" Target="../printerSettings/printerSettings12.bin"/><Relationship Id="rId5" Type="http://schemas.openxmlformats.org/officeDocument/2006/relationships/hyperlink" Target="https://static1.squarespace.com/static/59bc3457ccc5c5890fe7cacd/t/60f85f249f074421d46b1f5d/1626890024524/Digital+Square+Vital+Wave+TCO+Reference+Document_final.pdf" TargetMode="External"/><Relationship Id="rId4" Type="http://schemas.openxmlformats.org/officeDocument/2006/relationships/hyperlink" Target="https://static1.squarespace.com/static/59bc3457ccc5c5890fe7cacd/t/60f85f249f074421d46b1f5d/1626890024524/Digital+Square+Vital+Wave+TCO+Reference+Document_final.pdf" TargetMode="External"/><Relationship Id="rId9"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path.azureedge.net/media/documents/Tanzania_Digital_Health_Investment_Road_Map.2017_to_2023.pdf" TargetMode="External"/><Relationship Id="rId13" Type="http://schemas.openxmlformats.org/officeDocument/2006/relationships/hyperlink" Target="https://www.adb.org/sites/default/files/publication/465611/sdwp-057-digital-health-impact-framework-manual.pdf" TargetMode="External"/><Relationship Id="rId18" Type="http://schemas.openxmlformats.org/officeDocument/2006/relationships/hyperlink" Target="https://www.dimagi.com/toolkits/total-cost-ownership/" TargetMode="External"/><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www.who.int/publications/i/item/9789240010567" TargetMode="External"/><Relationship Id="rId17" Type="http://schemas.openxmlformats.org/officeDocument/2006/relationships/hyperlink" Target="https://www.dimagi.com/toolkits/total-cost-ownership/"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6" Type="http://schemas.openxmlformats.org/officeDocument/2006/relationships/hyperlink" Target="https://path.azureedge.net/media/documents/Tanzania_Digital_Health_Investment_Road_Map.2017_to_2023.pdf" TargetMode="External"/><Relationship Id="rId20" Type="http://schemas.openxmlformats.org/officeDocument/2006/relationships/drawing" Target="../drawings/drawing11.xml"/><Relationship Id="rId1" Type="http://schemas.openxmlformats.org/officeDocument/2006/relationships/hyperlink" Target="https://path.azureedge.net/media/documents/Tanzania_Digital_Health_Investment_Road_Map.2017_to_2023.pdf"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path.azureedge.net/media/documents/Tanzania_Digital_Health_Investment_Road_Map.2017_to_2023.pdf" TargetMode="External"/><Relationship Id="rId5" Type="http://schemas.openxmlformats.org/officeDocument/2006/relationships/hyperlink" Target="https://www.dimagi.com/toolkits/total-cost-ownership/"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static1.squarespace.com/static/59bc3457ccc5c5890fe7cacd/t/60f85f249f074421d46b1f5d/1626890024524/Digital+Square+Vital+Wave+TCO+Reference+Document_final.pdf" TargetMode="External"/><Relationship Id="rId19" Type="http://schemas.openxmlformats.org/officeDocument/2006/relationships/hyperlink" Target="https://static1.squarespace.com/static/59bc3457ccc5c5890fe7cacd/t/60f85f249f074421d46b1f5d/1626890024524/Digital+Square+Vital+Wave+TCO+Reference+Document_final.pdf" TargetMode="External"/><Relationship Id="rId4" Type="http://schemas.openxmlformats.org/officeDocument/2006/relationships/hyperlink" Target="https://static1.squarespace.com/static/59bc3457ccc5c5890fe7cacd/t/60f85f249f074421d46b1f5d/1626890024524/Digital+Square+Vital+Wave+TCO+Reference+Document_final.pdf" TargetMode="External"/><Relationship Id="rId9" Type="http://schemas.openxmlformats.org/officeDocument/2006/relationships/hyperlink" Target="https://static1.squarespace.com/static/59bc3457ccc5c5890fe7cacd/t/60f85f249f074421d46b1f5d/1626890024524/Digital+Square+Vital+Wave+TCO+Reference+Document_final.pdf" TargetMode="External"/><Relationship Id="rId14" Type="http://schemas.openxmlformats.org/officeDocument/2006/relationships/hyperlink" Target="https://static1.squarespace.com/static/59bc3457ccc5c5890fe7cacd/t/60f85f249f074421d46b1f5d/1626890024524/Digital+Square+Vital+Wave+TCO+Reference+Document_final.pdf"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pathseattle-my.sharepoint.com/personal/ngetachew_path_org/abdul/Library/Containers/com.microsoft.Excel/Data/Library/Application%20Support/Microsoft/Salary%20data.xlsx" TargetMode="External"/><Relationship Id="rId2" Type="http://schemas.openxmlformats.org/officeDocument/2006/relationships/hyperlink" Target="https://digitalsquare.org/market-analytics" TargetMode="External"/><Relationship Id="rId1" Type="http://schemas.openxmlformats.org/officeDocument/2006/relationships/hyperlink" Target="https://pathseattle-my.sharepoint.com/personal/ngetachew_path_org/abdul/Library/Containers/com.microsoft.Excel/Data/Library/Application%20Support/Microsoft/%20https/www.fao.org/3/bt976e/bt976e.pdf" TargetMode="External"/><Relationship Id="rId5" Type="http://schemas.openxmlformats.org/officeDocument/2006/relationships/table" Target="../tables/table4.xml"/><Relationship Id="rId4" Type="http://schemas.openxmlformats.org/officeDocument/2006/relationships/hyperlink" Target="https://icsc.un.org/Home/GetDataFile/6737"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s://icsc.un.org/Home/GetDataFile/6737" TargetMode="External"/><Relationship Id="rId1" Type="http://schemas.openxmlformats.org/officeDocument/2006/relationships/hyperlink" Target="https://www.un.org/Depts/OHRM/salaries_allowances/salary.htm" TargetMode="External"/></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27.xml.rels><?xml version="1.0" encoding="UTF-8" standalone="yes"?>
<Relationships xmlns="http://schemas.openxmlformats.org/package/2006/relationships"><Relationship Id="rId8" Type="http://schemas.openxmlformats.org/officeDocument/2006/relationships/hyperlink" Target="https://path.ent.box.com/file/874998519412?s=o3g41vb6kcigi2qczsgxnst40zkxki6r" TargetMode="External"/><Relationship Id="rId13" Type="http://schemas.openxmlformats.org/officeDocument/2006/relationships/hyperlink" Target="https://www.dimagi.com/toolkits/total-cost-ownership/" TargetMode="External"/><Relationship Id="rId18" Type="http://schemas.openxmlformats.org/officeDocument/2006/relationships/hyperlink" Target="https://path.ent.box.com/file/874998519412?s=o3g41vb6kcigi2qczsgxnst40zkxki6r" TargetMode="External"/><Relationship Id="rId3" Type="http://schemas.openxmlformats.org/officeDocument/2006/relationships/hyperlink" Target="https://path.ent.box.com/file/874998519412?s=o3g41vb6kcigi2qczsgxnst40zkxki6r" TargetMode="External"/><Relationship Id="rId21" Type="http://schemas.openxmlformats.org/officeDocument/2006/relationships/hyperlink" Target="https://path.ent.box.com/file/874998519412?s=o3g41vb6kcigi2qczsgxnst40zkxki6r" TargetMode="External"/><Relationship Id="rId7" Type="http://schemas.openxmlformats.org/officeDocument/2006/relationships/hyperlink" Target="http://sil-asia.org/costing-tool/" TargetMode="External"/><Relationship Id="rId12" Type="http://schemas.openxmlformats.org/officeDocument/2006/relationships/hyperlink" Target="https://www.dimagi.com/toolkits/total-cost-ownership/" TargetMode="External"/><Relationship Id="rId17" Type="http://schemas.openxmlformats.org/officeDocument/2006/relationships/hyperlink" Target="https://path.ent.box.com/file/874998519412?s=o3g41vb6kcigi2qczsgxnst40zkxki6r"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6" Type="http://schemas.openxmlformats.org/officeDocument/2006/relationships/hyperlink" Target="https://path.ent.box.com/file/874998519412?s=o3g41vb6kcigi2qczsgxnst40zkxki6r" TargetMode="External"/><Relationship Id="rId20" Type="http://schemas.openxmlformats.org/officeDocument/2006/relationships/hyperlink" Target="https://www.dimagi.com/toolkits/total-cost-ownership/" TargetMode="External"/><Relationship Id="rId1" Type="http://schemas.openxmlformats.org/officeDocument/2006/relationships/hyperlink" Target="https://academic.oup.com/heapol/article/35/1/107/5591528" TargetMode="External"/><Relationship Id="rId6" Type="http://schemas.openxmlformats.org/officeDocument/2006/relationships/hyperlink" Target="https://path.ent.box.com/file/874998519412?s=o3g41vb6kcigi2qczsgxnst40zkxki6r" TargetMode="External"/><Relationship Id="rId11" Type="http://schemas.openxmlformats.org/officeDocument/2006/relationships/hyperlink" Target="https://path.ent.box.com/file/874998519412?s=o3g41vb6kcigi2qczsgxnst40zkxki6r" TargetMode="External"/><Relationship Id="rId5" Type="http://schemas.openxmlformats.org/officeDocument/2006/relationships/hyperlink" Target="https://path.ent.box.com/file/874998519412?s=o3g41vb6kcigi2qczsgxnst40zkxki6r" TargetMode="External"/><Relationship Id="rId15" Type="http://schemas.openxmlformats.org/officeDocument/2006/relationships/hyperlink" Target="https://path.ent.box.com/file/875017166090?s=4yyk3csmkti92fip0egx06xjceb1ai7j" TargetMode="External"/><Relationship Id="rId10" Type="http://schemas.openxmlformats.org/officeDocument/2006/relationships/hyperlink" Target="http://sil-asia.org/costing-tool/" TargetMode="External"/><Relationship Id="rId19" Type="http://schemas.openxmlformats.org/officeDocument/2006/relationships/hyperlink" Target="https://path.ent.box.com/file/874998519412?s=o3g41vb6kcigi2qczsgxnst40zkxki6r" TargetMode="External"/><Relationship Id="rId4" Type="http://schemas.openxmlformats.org/officeDocument/2006/relationships/hyperlink" Target="https://path.ent.box.com/file/874998519412?s=o3g41vb6kcigi2qczsgxnst40zkxki6r" TargetMode="External"/><Relationship Id="rId9" Type="http://schemas.openxmlformats.org/officeDocument/2006/relationships/hyperlink" Target="https://path.ent.box.com/file/874998519412?s=o3g41vb6kcigi2qczsgxnst40zkxki6r" TargetMode="External"/><Relationship Id="rId14" Type="http://schemas.openxmlformats.org/officeDocument/2006/relationships/hyperlink" Target="https://path.ent.box.com/file/874998519412?s=o3g41vb6kcigi2qczsgxnst40zkxki6r" TargetMode="External"/></Relationships>
</file>

<file path=xl/worksheets/_rels/sheet28.xml.rels><?xml version="1.0" encoding="UTF-8" standalone="yes"?>
<Relationships xmlns="http://schemas.openxmlformats.org/package/2006/relationships"><Relationship Id="rId13" Type="http://schemas.openxmlformats.org/officeDocument/2006/relationships/hyperlink" Target="https://static1.squarespace.com/static/59bc3457ccc5c5890fe7cacd/t/60f85f249f074421d46b1f5d/1626890024524/Digital+Square+Vital+Wave+TCO+Reference+Document_final.pdf" TargetMode="External"/><Relationship Id="rId18" Type="http://schemas.openxmlformats.org/officeDocument/2006/relationships/hyperlink" Target="https://static1.squarespace.com/static/59bc3457ccc5c5890fe7cacd/t/60f85f249f074421d46b1f5d/1626890024524/Digital+Square+Vital+Wave+TCO+Reference+Document_final.pdf" TargetMode="External"/><Relationship Id="rId26" Type="http://schemas.openxmlformats.org/officeDocument/2006/relationships/hyperlink" Target="https://path.azureedge.net/media/documents/Tanzania_Digital_Health_Investment_Road_Map.2017_to_2023.pdf" TargetMode="External"/><Relationship Id="rId3" Type="http://schemas.openxmlformats.org/officeDocument/2006/relationships/hyperlink" Target="https://path.azureedge.net/media/documents/Tanzania_Digital_Health_Investment_Road_Map.2017_to_2023.pdf" TargetMode="External"/><Relationship Id="rId21" Type="http://schemas.openxmlformats.org/officeDocument/2006/relationships/hyperlink" Target="https://path.azureedge.net/media/documents/Tanzania_Digital_Health_Investment_Road_Map.2017_to_2023.pdf" TargetMode="External"/><Relationship Id="rId34" Type="http://schemas.openxmlformats.org/officeDocument/2006/relationships/drawing" Target="../drawings/drawing12.xml"/><Relationship Id="rId7" Type="http://schemas.openxmlformats.org/officeDocument/2006/relationships/hyperlink" Target="https://path.azureedge.net/media/documents/Tanzania_Digital_Health_Investment_Road_Map.2017_to_2023.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17" Type="http://schemas.openxmlformats.org/officeDocument/2006/relationships/hyperlink" Target="https://static1.squarespace.com/static/59bc3457ccc5c5890fe7cacd/t/60f85f249f074421d46b1f5d/1626890024524/Digital+Square+Vital+Wave+TCO+Reference+Document_final.pdf" TargetMode="External"/><Relationship Id="rId25" Type="http://schemas.openxmlformats.org/officeDocument/2006/relationships/hyperlink" Target="https://path.azureedge.net/media/documents/Tanzania_Digital_Health_Investment_Road_Map.2017_to_2023.pdf" TargetMode="External"/><Relationship Id="rId33" Type="http://schemas.openxmlformats.org/officeDocument/2006/relationships/printerSettings" Target="../printerSettings/printerSettings14.bin"/><Relationship Id="rId2" Type="http://schemas.openxmlformats.org/officeDocument/2006/relationships/hyperlink" Target="https://path.azureedge.net/media/documents/Tanzania_Digital_Health_Investment_Road_Map.2017_to_2023.pdf" TargetMode="External"/><Relationship Id="rId16" Type="http://schemas.openxmlformats.org/officeDocument/2006/relationships/hyperlink" Target="https://static1.squarespace.com/static/59bc3457ccc5c5890fe7cacd/t/60f85f249f074421d46b1f5d/1626890024524/Digital+Square+Vital+Wave+TCO+Reference+Document_final.pdf" TargetMode="External"/><Relationship Id="rId20" Type="http://schemas.openxmlformats.org/officeDocument/2006/relationships/hyperlink" Target="https://path.azureedge.net/media/documents/Tanzania_Digital_Health_Investment_Road_Map.2017_to_2023.pdf" TargetMode="External"/><Relationship Id="rId29"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un.org/Depts/OHRM/salaries_allowances/salary.htm"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static1.squarespace.com/static/59bc3457ccc5c5890fe7cacd/t/60f85f249f074421d46b1f5d/1626890024524/Digital+Square+Vital+Wave+TCO+Reference+Document_final.pdf" TargetMode="External"/><Relationship Id="rId24" Type="http://schemas.openxmlformats.org/officeDocument/2006/relationships/hyperlink" Target="https://static1.squarespace.com/static/59bc3457ccc5c5890fe7cacd/t/60f85f249f074421d46b1f5d/1626890024524/Digital+Square+Vital+Wave+TCO+Reference+Document_final.pdf" TargetMode="External"/><Relationship Id="rId32" Type="http://schemas.openxmlformats.org/officeDocument/2006/relationships/hyperlink" Target="https://path.azureedge.net/media/documents/Tanzania_Digital_Health_Investment_Road_Map.2017_to_2023.pdf" TargetMode="External"/><Relationship Id="rId5" Type="http://schemas.openxmlformats.org/officeDocument/2006/relationships/hyperlink" Target="https://static1.squarespace.com/static/59bc3457ccc5c5890fe7cacd/t/60f85f249f074421d46b1f5d/1626890024524/Digital+Square+Vital+Wave+TCO+Reference+Document_final.pdf"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23" Type="http://schemas.openxmlformats.org/officeDocument/2006/relationships/hyperlink" Target="https://static1.squarespace.com/static/59bc3457ccc5c5890fe7cacd/t/60f85f249f074421d46b1f5d/1626890024524/Digital+Square+Vital+Wave+TCO+Reference+Document_final.pdf" TargetMode="External"/><Relationship Id="rId28"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www.who.int/publications/i/item/9789240010567" TargetMode="External"/><Relationship Id="rId19" Type="http://schemas.openxmlformats.org/officeDocument/2006/relationships/hyperlink" Target="https://path.azureedge.net/media/documents/Tanzania_Digital_Health_Investment_Road_Map.2017_to_2023.pdf" TargetMode="External"/><Relationship Id="rId31" Type="http://schemas.openxmlformats.org/officeDocument/2006/relationships/hyperlink" Target="https://path.azureedge.net/media/documents/Tanzania_Digital_Health_Investment_Road_Map.2017_to_2023.pdf" TargetMode="External"/><Relationship Id="rId4" Type="http://schemas.openxmlformats.org/officeDocument/2006/relationships/hyperlink" Target="https://path.azureedge.net/media/documents/Tanzania_Digital_Health_Investment_Road_Map.2017_to_2023.pdf" TargetMode="External"/><Relationship Id="rId9" Type="http://schemas.openxmlformats.org/officeDocument/2006/relationships/hyperlink" Target="https://www.who.int/publications/i/item/9789240010567" TargetMode="External"/><Relationship Id="rId14" Type="http://schemas.openxmlformats.org/officeDocument/2006/relationships/hyperlink" Target="https://static1.squarespace.com/static/59bc3457ccc5c5890fe7cacd/t/60f85f249f074421d46b1f5d/1626890024524/Digital+Square+Vital+Wave+TCO+Reference+Document_final.pdf" TargetMode="External"/><Relationship Id="rId22" Type="http://schemas.openxmlformats.org/officeDocument/2006/relationships/hyperlink" Target="https://static1.squarespace.com/static/59bc3457ccc5c5890fe7cacd/t/60f85f249f074421d46b1f5d/1626890024524/Digital+Square+Vital+Wave+TCO+Reference+Document_final.pdf" TargetMode="External"/><Relationship Id="rId27" Type="http://schemas.openxmlformats.org/officeDocument/2006/relationships/hyperlink" Target="https://path.azureedge.net/media/documents/Tanzania_Digital_Health_Investment_Road_Map.2017_to_2023.pdf" TargetMode="External"/><Relationship Id="rId30" Type="http://schemas.openxmlformats.org/officeDocument/2006/relationships/hyperlink" Target="https://path.azureedge.net/media/documents/Tanzania_Digital_Health_Investment_Road_Map.2017_to_2023.pdf" TargetMode="External"/><Relationship Id="rId8" Type="http://schemas.openxmlformats.org/officeDocument/2006/relationships/hyperlink" Target="https://www.who.int/publications/i/item/978924001056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gitalSquareTCO@path.org" TargetMode="External"/><Relationship Id="rId2" Type="http://schemas.openxmlformats.org/officeDocument/2006/relationships/hyperlink" Target="https://digitalsquare.org/market-analytics" TargetMode="External"/><Relationship Id="rId1" Type="http://schemas.openxmlformats.org/officeDocument/2006/relationships/hyperlink" Target="https://digitalsquare.org/digital-health-global-good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4.xml.rels><?xml version="1.0" encoding="UTF-8" standalone="yes"?>
<Relationships xmlns="http://schemas.openxmlformats.org/package/2006/relationships"><Relationship Id="rId3" Type="http://schemas.openxmlformats.org/officeDocument/2006/relationships/hyperlink" Target="https://path.azureedge.net/media/documents/WHO_Digital_implementation_investment_guide_DIIG_R3.pdf" TargetMode="External"/><Relationship Id="rId2" Type="http://schemas.openxmlformats.org/officeDocument/2006/relationships/hyperlink" Target="https://digitalsquare.org/resourcesrepository/global-goods-guidebook"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 Id="rId6" Type="http://schemas.openxmlformats.org/officeDocument/2006/relationships/drawing" Target="../drawings/drawing14.xml"/><Relationship Id="rId5" Type="http://schemas.openxmlformats.org/officeDocument/2006/relationships/printerSettings" Target="../printerSettings/printerSettings17.bin"/><Relationship Id="rId4" Type="http://schemas.openxmlformats.org/officeDocument/2006/relationships/hyperlink" Target="https://digitalprinciples.org/wp-content/uploads/PDD_HowTo_CalculateTCO-v2.pdf" TargetMode="External"/></Relationships>
</file>

<file path=xl/worksheets/_rels/sheet3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 Id="rId4" Type="http://schemas.microsoft.com/office/2017/10/relationships/threadedComment" Target="../threadedComments/threadedComment2.xml"/></Relationships>
</file>

<file path=xl/worksheets/_rels/sheet36.xml.rels><?xml version="1.0" encoding="UTF-8" standalone="yes"?>
<Relationships xmlns="http://schemas.openxmlformats.org/package/2006/relationships"><Relationship Id="rId8" Type="http://schemas.openxmlformats.org/officeDocument/2006/relationships/hyperlink" Target="https://path.box.com/s/fhlw17hs1lthhbav6j55esh36zhzqg9d" TargetMode="External"/><Relationship Id="rId13" Type="http://schemas.openxmlformats.org/officeDocument/2006/relationships/hyperlink" Target="https://path.ent.box.com/file/832855209208?s=c1ttccrs1zn2ltr4amltgqofvc22fxry" TargetMode="External"/><Relationship Id="rId18" Type="http://schemas.openxmlformats.org/officeDocument/2006/relationships/hyperlink" Target="https://path.ent.box.com/file/832855209208?s=c1ttccrs1zn2ltr4amltgqofvc22fxry" TargetMode="External"/><Relationship Id="rId26" Type="http://schemas.openxmlformats.org/officeDocument/2006/relationships/hyperlink" Target="https://path.ent.box.com/file/832855209208?s=c1ttccrs1zn2ltr4amltgqofvc22fxry" TargetMode="External"/><Relationship Id="rId3" Type="http://schemas.openxmlformats.org/officeDocument/2006/relationships/hyperlink" Target="https://path.ent.box.com/file/756312315504?s=w9injwokxnai4ohri1on73htmx9rlpp3&amp;sb=/activity" TargetMode="External"/><Relationship Id="rId21" Type="http://schemas.openxmlformats.org/officeDocument/2006/relationships/hyperlink" Target="https://path.ent.box.com/file/832855209208?s=c1ttccrs1zn2ltr4amltgqofvc22fxry" TargetMode="External"/><Relationship Id="rId7" Type="http://schemas.openxmlformats.org/officeDocument/2006/relationships/hyperlink" Target="https://path.box.com/s/fhlw17hs1lthhbav6j55esh36zhzqg9d" TargetMode="External"/><Relationship Id="rId12" Type="http://schemas.openxmlformats.org/officeDocument/2006/relationships/hyperlink" Target="https://path.ent.box.com/file/832855209208" TargetMode="External"/><Relationship Id="rId17" Type="http://schemas.openxmlformats.org/officeDocument/2006/relationships/hyperlink" Target="https://path.ent.box.com/file/832855209208?s=c1ttccrs1zn2ltr4amltgqofvc22fxry" TargetMode="External"/><Relationship Id="rId25" Type="http://schemas.openxmlformats.org/officeDocument/2006/relationships/hyperlink" Target="https://path.ent.box.com/file/832855209208?s=c1ttccrs1zn2ltr4amltgqofvc22fxry" TargetMode="External"/><Relationship Id="rId2" Type="http://schemas.openxmlformats.org/officeDocument/2006/relationships/hyperlink" Target="https://path.ent.box.com/file/756312315504?s=w9injwokxnai4ohri1on73htmx9rlpp3&amp;sb=/activity" TargetMode="External"/><Relationship Id="rId16" Type="http://schemas.openxmlformats.org/officeDocument/2006/relationships/hyperlink" Target="https://path.ent.box.com/file/832855209208?s=c1ttccrs1zn2ltr4amltgqofvc22fxry" TargetMode="External"/><Relationship Id="rId20" Type="http://schemas.openxmlformats.org/officeDocument/2006/relationships/hyperlink" Target="https://path.ent.box.com/file/832855209208?s=c1ttccrs1zn2ltr4amltgqofvc22fxry" TargetMode="External"/><Relationship Id="rId1" Type="http://schemas.openxmlformats.org/officeDocument/2006/relationships/hyperlink" Target="https://path.ent.box.com/file/854442719902?s=68b9nyd7wep14ymd25m9dvem3h39sn5n" TargetMode="External"/><Relationship Id="rId6" Type="http://schemas.openxmlformats.org/officeDocument/2006/relationships/hyperlink" Target="https://path.box.com/s/fhlw17hs1lthhbav6j55esh36zhzqg9d" TargetMode="External"/><Relationship Id="rId11" Type="http://schemas.openxmlformats.org/officeDocument/2006/relationships/hyperlink" Target="https://path.ent.box.com/file/832855209208" TargetMode="External"/><Relationship Id="rId24" Type="http://schemas.openxmlformats.org/officeDocument/2006/relationships/hyperlink" Target="https://path.ent.box.com/file/832855209208?s=c1ttccrs1zn2ltr4amltgqofvc22fxry" TargetMode="External"/><Relationship Id="rId5" Type="http://schemas.openxmlformats.org/officeDocument/2006/relationships/hyperlink" Target="https://nam12.safelinks.protection.outlook.com/?url=https%3A%2F%2Fwww.dimagi.com%2Ftoolkits%2Ftotal-cost-ownership%2F&amp;data=04%7C01%7Cjfritz%40path.org%7C9bb0507d6bd34cc6a82d08d974754443%7C29ca3f4f6d6749a5a001e1db48252717%7C0%7C0%7C637668869297505393%7CUnknown%7CTWFpbGZsb3d8eyJWIjoiMC4wLjAwMDAiLCJQIjoiV2luMzIiLCJBTiI6Ik1haWwiLCJXVCI6Mn0%3D%7C1000&amp;sdata=MpBz6S3gqd5OBvOCep9mhfSPxPR265Q2R4h2JtbpYd4%3D&amp;reserved=0" TargetMode="External"/><Relationship Id="rId15" Type="http://schemas.openxmlformats.org/officeDocument/2006/relationships/hyperlink" Target="https://path.ent.box.com/file/832855209208?s=c1ttccrs1zn2ltr4amltgqofvc22fxry" TargetMode="External"/><Relationship Id="rId23" Type="http://schemas.openxmlformats.org/officeDocument/2006/relationships/hyperlink" Target="https://path.ent.box.com/file/832855209208?s=c1ttccrs1zn2ltr4amltgqofvc22fxry" TargetMode="External"/><Relationship Id="rId28" Type="http://schemas.openxmlformats.org/officeDocument/2006/relationships/printerSettings" Target="../printerSettings/printerSettings19.bin"/><Relationship Id="rId10" Type="http://schemas.openxmlformats.org/officeDocument/2006/relationships/hyperlink" Target="https://path.box.com/s/fhlw17hs1lthhbav6j55esh36zhzqg9d" TargetMode="External"/><Relationship Id="rId19" Type="http://schemas.openxmlformats.org/officeDocument/2006/relationships/hyperlink" Target="https://path.ent.box.com/file/832855209208?s=c1ttccrs1zn2ltr4amltgqofvc22fxry" TargetMode="External"/><Relationship Id="rId4" Type="http://schemas.openxmlformats.org/officeDocument/2006/relationships/hyperlink" Target="https://nam12.safelinks.protection.outlook.com/?url=https%3A%2F%2Fdocs.google.com%2Fspreadsheets%2Fd%2F1HulXPYmGSoFRLmlTAWhJvnXU7Y_4h4jpDsu-H0SEJ3A%2Fedit%23gid%3D1255448025&amp;data=04%7C01%7Cjfritz%40path.org%7C9bb0507d6bd34cc6a82d08d974754443%7C29ca3f4f6d6749a5a001e1db48252717%7C0%7C0%7C637668869297505393%7CUnknown%7CTWFpbGZsb3d8eyJWIjoiMC4wLjAwMDAiLCJQIjoiV2luMzIiLCJBTiI6Ik1haWwiLCJXVCI6Mn0%3D%7C1000&amp;sdata=Bsw1LUxRgQstSbbb%2BsZS6qjUToOdcHF69Vwjl1JU7Fo%3D&amp;reserved=0" TargetMode="External"/><Relationship Id="rId9" Type="http://schemas.openxmlformats.org/officeDocument/2006/relationships/hyperlink" Target="https://path.box.com/s/fhlw17hs1lthhbav6j55esh36zhzqg9d" TargetMode="External"/><Relationship Id="rId14" Type="http://schemas.openxmlformats.org/officeDocument/2006/relationships/hyperlink" Target="https://path.ent.box.com/file/832855209208?s=c1ttccrs1zn2ltr4amltgqofvc22fxry" TargetMode="External"/><Relationship Id="rId22" Type="http://schemas.openxmlformats.org/officeDocument/2006/relationships/hyperlink" Target="https://path.ent.box.com/file/832855209208?s=c1ttccrs1zn2ltr4amltgqofvc22fxry" TargetMode="External"/><Relationship Id="rId27" Type="http://schemas.openxmlformats.org/officeDocument/2006/relationships/hyperlink" Target="https://path.ent.box.com/file/832855209208?s=c1ttccrs1zn2ltr4amltgqofvc22fxry" TargetMode="External"/></Relationships>
</file>

<file path=xl/worksheets/_rels/sheet37.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hyperlink" Target="https://path.ent.box.com/file/756312315504?s=w9injwokxnai4ohri1on73htmx9rlpp3&amp;sb=/activity" TargetMode="External"/><Relationship Id="rId7" Type="http://schemas.openxmlformats.org/officeDocument/2006/relationships/hyperlink" Target="https://path.box.com/s/fhlw17hs1lthhbav6j55esh36zhzqg9d" TargetMode="External"/><Relationship Id="rId2" Type="http://schemas.openxmlformats.org/officeDocument/2006/relationships/hyperlink" Target="https://path.ent.box.com/file/756312315504?s=w9injwokxnai4ohri1on73htmx9rlpp3&amp;sb=/activity" TargetMode="External"/><Relationship Id="rId1" Type="http://schemas.openxmlformats.org/officeDocument/2006/relationships/hyperlink" Target="https://path.ent.box.com/file/854442719902?s=68b9nyd7wep14ymd25m9dvem3h39sn5n" TargetMode="External"/><Relationship Id="rId6" Type="http://schemas.openxmlformats.org/officeDocument/2006/relationships/hyperlink" Target="https://path.box.com/s/fhlw17hs1lthhbav6j55esh36zhzqg9d" TargetMode="External"/><Relationship Id="rId5" Type="http://schemas.openxmlformats.org/officeDocument/2006/relationships/hyperlink" Target="https://path.box.com/s/fhlw17hs1lthhbav6j55esh36zhzqg9d" TargetMode="External"/><Relationship Id="rId4" Type="http://schemas.openxmlformats.org/officeDocument/2006/relationships/hyperlink" Target="https://path.box.com/s/fhlw17hs1lthhbav6j55esh36zhzqg9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digitalsquare.org/market-analytics" TargetMode="External"/><Relationship Id="rId1" Type="http://schemas.openxmlformats.org/officeDocument/2006/relationships/hyperlink" Target="https://www1.oanda.com/currency/converter/"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static1.squarespace.com/static/59bc3457ccc5c5890fe7cacd/t/60f85f249f074421d46b1f5d/1626890024524/Digital+Square+Vital+Wave+TCO+Reference+Document_final.pdf" TargetMode="External"/><Relationship Id="rId13" Type="http://schemas.openxmlformats.org/officeDocument/2006/relationships/printerSettings" Target="../printerSettings/printerSettings6.bin"/><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path.azureedge.net/media/documents/Tanzania_Digital_Health_Investment_Road_Map.2017_to_2023.pdf" TargetMode="External"/><Relationship Id="rId6" Type="http://schemas.openxmlformats.org/officeDocument/2006/relationships/hyperlink" Target="https://path.azureedge.net/media/documents/Tanzania_Digital_Health_Investment_Road_Map.2017_to_2023.pdf" TargetMode="External"/><Relationship Id="rId11" Type="http://schemas.openxmlformats.org/officeDocument/2006/relationships/hyperlink" Target="https://www.adb.org/sites/default/files/publication/465611/sdwp-057-digital-health-impact-framework-manual.pdf" TargetMode="External"/><Relationship Id="rId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www.who.int/publications/i/item/9789240010567" TargetMode="External"/><Relationship Id="rId4" Type="http://schemas.openxmlformats.org/officeDocument/2006/relationships/hyperlink" Target="https://static1.squarespace.com/static/59bc3457ccc5c5890fe7cacd/t/60f85f249f074421d46b1f5d/1626890024524/Digital+Square+Vital+Wave+TCO+Reference+Document_final.pdf" TargetMode="External"/><Relationship Id="rId9" Type="http://schemas.openxmlformats.org/officeDocument/2006/relationships/hyperlink" Target="https://path.azureedge.net/media/documents/Tanzania_Digital_Health_Investment_Road_Map.2017_to_2023.pdf" TargetMode="External"/><Relationship Id="rId1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8" Type="http://schemas.openxmlformats.org/officeDocument/2006/relationships/hyperlink" Target="https://static1.squarespace.com/static/59bc3457ccc5c5890fe7cacd/t/60f85f249f074421d46b1f5d/1626890024524/Digital+Square+Vital+Wave+TCO+Reference+Document_final.pdf" TargetMode="External"/><Relationship Id="rId13" Type="http://schemas.openxmlformats.org/officeDocument/2006/relationships/hyperlink" Target="https://path.azureedge.net/media/documents/Tanzania_Digital_Health_Investment_Road_Map.2017_to_2023.pdf" TargetMode="External"/><Relationship Id="rId18" Type="http://schemas.openxmlformats.org/officeDocument/2006/relationships/printerSettings" Target="../printerSettings/printerSettings7.bin"/><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17"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www.dimagi.com/toolkits/total-cost-ownership/" TargetMode="External"/><Relationship Id="rId16"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static1.squarespace.com/static/59bc3457ccc5c5890fe7cacd/t/60f85f249f074421d46b1f5d/1626890024524/Digital+Square+Vital+Wave+TCO+Reference+Document_final.pdf" TargetMode="External"/><Relationship Id="rId5" Type="http://schemas.openxmlformats.org/officeDocument/2006/relationships/hyperlink" Target="https://www.dimagi.com/toolkits/total-cost-ownership/"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static1.squarespace.com/static/59bc3457ccc5c5890fe7cacd/t/60f85f249f074421d46b1f5d/1626890024524/Digital+Square+Vital+Wave+TCO+Reference+Document_final.pdf" TargetMode="External"/><Relationship Id="rId19" Type="http://schemas.openxmlformats.org/officeDocument/2006/relationships/drawing" Target="../drawings/drawing5.xml"/><Relationship Id="rId4" Type="http://schemas.openxmlformats.org/officeDocument/2006/relationships/hyperlink" Target="https://www.dimagi.com/toolkits/total-cost-ownership/" TargetMode="External"/><Relationship Id="rId9" Type="http://schemas.openxmlformats.org/officeDocument/2006/relationships/hyperlink" Target="https://path.azureedge.net/media/documents/Tanzania_Digital_Health_Investment_Road_Map.2017_to_2023.pdf" TargetMode="External"/><Relationship Id="rId14" Type="http://schemas.openxmlformats.org/officeDocument/2006/relationships/hyperlink" Target="https://static1.squarespace.com/static/59bc3457ccc5c5890fe7cacd/t/60f85f249f074421d46b1f5d/1626890024524/Digital+Square+Vital+Wave+TCO+Reference+Document_final.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
  <sheetViews>
    <sheetView workbookViewId="0">
      <selection activeCell="I24" sqref="I24"/>
    </sheetView>
  </sheetViews>
  <sheetFormatPr defaultColWidth="8.7109375"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4" tint="0.59999389629810485"/>
  </sheetPr>
  <dimension ref="A1"/>
  <sheetViews>
    <sheetView workbookViewId="0">
      <selection activeCell="L34" sqref="L34"/>
    </sheetView>
  </sheetViews>
  <sheetFormatPr defaultColWidth="8.710937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2"/>
  <sheetViews>
    <sheetView workbookViewId="0">
      <selection sqref="A1:A2"/>
    </sheetView>
  </sheetViews>
  <sheetFormatPr defaultColWidth="8.7109375" defaultRowHeight="15" x14ac:dyDescent="0.25"/>
  <sheetData>
    <row r="1" spans="1:1" x14ac:dyDescent="0.25">
      <c r="A1" t="s">
        <v>65</v>
      </c>
    </row>
    <row r="2" spans="1:1" x14ac:dyDescent="0.25">
      <c r="A2" t="s">
        <v>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5"/>
  <sheetViews>
    <sheetView workbookViewId="0">
      <selection activeCell="K11" sqref="K11"/>
    </sheetView>
  </sheetViews>
  <sheetFormatPr defaultColWidth="8.7109375" defaultRowHeight="15" x14ac:dyDescent="0.25"/>
  <sheetData>
    <row r="1" spans="1:1" x14ac:dyDescent="0.25">
      <c r="A1" t="s">
        <v>631</v>
      </c>
    </row>
    <row r="2" spans="1:1" x14ac:dyDescent="0.25">
      <c r="A2" t="s">
        <v>632</v>
      </c>
    </row>
    <row r="3" spans="1:1" x14ac:dyDescent="0.25">
      <c r="A3" t="s">
        <v>633</v>
      </c>
    </row>
    <row r="4" spans="1:1" x14ac:dyDescent="0.25">
      <c r="A4" t="s">
        <v>634</v>
      </c>
    </row>
    <row r="5" spans="1:1" x14ac:dyDescent="0.25">
      <c r="A5" t="s">
        <v>635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2:D10"/>
  <sheetViews>
    <sheetView workbookViewId="0">
      <selection activeCell="D20" sqref="D20"/>
    </sheetView>
  </sheetViews>
  <sheetFormatPr defaultColWidth="8.7109375" defaultRowHeight="15" x14ac:dyDescent="0.25"/>
  <cols>
    <col min="2" max="2" width="27.28515625" customWidth="1"/>
    <col min="3" max="3" width="27.7109375" customWidth="1"/>
    <col min="4" max="4" width="58.28515625" customWidth="1"/>
  </cols>
  <sheetData>
    <row r="2" spans="2:4" x14ac:dyDescent="0.25">
      <c r="B2" t="s">
        <v>929</v>
      </c>
      <c r="D2" t="s">
        <v>928</v>
      </c>
    </row>
    <row r="3" spans="2:4" x14ac:dyDescent="0.25">
      <c r="B3" t="s">
        <v>65</v>
      </c>
      <c r="D3" t="s">
        <v>926</v>
      </c>
    </row>
    <row r="4" spans="2:4" x14ac:dyDescent="0.25">
      <c r="B4" t="s">
        <v>66</v>
      </c>
      <c r="D4" t="s">
        <v>930</v>
      </c>
    </row>
    <row r="5" spans="2:4" x14ac:dyDescent="0.25">
      <c r="D5" t="s">
        <v>927</v>
      </c>
    </row>
    <row r="8" spans="2:4" x14ac:dyDescent="0.25">
      <c r="B8" s="493" t="s">
        <v>926</v>
      </c>
      <c r="C8" s="493" t="s">
        <v>930</v>
      </c>
      <c r="D8" s="494" t="s">
        <v>927</v>
      </c>
    </row>
    <row r="9" spans="2:4" x14ac:dyDescent="0.25">
      <c r="B9" t="s">
        <v>65</v>
      </c>
      <c r="C9" t="s">
        <v>65</v>
      </c>
    </row>
    <row r="10" spans="2:4" x14ac:dyDescent="0.25">
      <c r="B10" t="s">
        <v>66</v>
      </c>
      <c r="C10" t="s">
        <v>66</v>
      </c>
    </row>
  </sheetData>
  <pageMargins left="0.7" right="0.7" top="0.75" bottom="0.75" header="0.3" footer="0.3"/>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B4"/>
  <sheetViews>
    <sheetView workbookViewId="0">
      <selection activeCell="B3" sqref="B3"/>
    </sheetView>
  </sheetViews>
  <sheetFormatPr defaultColWidth="8.7109375" defaultRowHeight="15" x14ac:dyDescent="0.25"/>
  <cols>
    <col min="1" max="1" width="47.28515625" bestFit="1" customWidth="1"/>
    <col min="2" max="2" width="123.7109375" bestFit="1" customWidth="1"/>
  </cols>
  <sheetData>
    <row r="1" spans="1:2" x14ac:dyDescent="0.25">
      <c r="A1" t="s">
        <v>641</v>
      </c>
      <c r="B1" t="s">
        <v>639</v>
      </c>
    </row>
    <row r="2" spans="1:2" x14ac:dyDescent="0.25">
      <c r="A2" t="s">
        <v>637</v>
      </c>
      <c r="B2" t="s">
        <v>640</v>
      </c>
    </row>
    <row r="3" spans="1:2" x14ac:dyDescent="0.25">
      <c r="A3" t="s">
        <v>1356</v>
      </c>
      <c r="B3" t="s">
        <v>640</v>
      </c>
    </row>
    <row r="4" spans="1:2" x14ac:dyDescent="0.25">
      <c r="A4" t="s">
        <v>638</v>
      </c>
      <c r="B4" t="s">
        <v>640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3"/>
  <sheetViews>
    <sheetView workbookViewId="0">
      <selection activeCell="A3" sqref="A3"/>
    </sheetView>
  </sheetViews>
  <sheetFormatPr defaultColWidth="8.7109375" defaultRowHeight="15" x14ac:dyDescent="0.25"/>
  <cols>
    <col min="1" max="1" width="9.28515625" bestFit="1" customWidth="1"/>
  </cols>
  <sheetData>
    <row r="1" spans="1:1" x14ac:dyDescent="0.25">
      <c r="A1" t="s">
        <v>646</v>
      </c>
    </row>
    <row r="2" spans="1:1" x14ac:dyDescent="0.25">
      <c r="A2" t="s">
        <v>647</v>
      </c>
    </row>
    <row r="3" spans="1:1" x14ac:dyDescent="0.25">
      <c r="A3" t="s">
        <v>648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B2:E17"/>
  <sheetViews>
    <sheetView workbookViewId="0">
      <selection activeCell="E9" sqref="E9"/>
    </sheetView>
  </sheetViews>
  <sheetFormatPr defaultColWidth="8.7109375" defaultRowHeight="15" x14ac:dyDescent="0.25"/>
  <cols>
    <col min="1" max="1" width="3.42578125" style="315" customWidth="1"/>
    <col min="2" max="2" width="77.7109375" style="315" customWidth="1"/>
    <col min="3" max="3" width="54.7109375" style="315" customWidth="1"/>
    <col min="4" max="4" width="8.7109375" style="315"/>
    <col min="5" max="5" width="89.28515625" style="315" customWidth="1"/>
    <col min="6" max="16384" width="8.7109375" style="315"/>
  </cols>
  <sheetData>
    <row r="2" spans="2:5" x14ac:dyDescent="0.25">
      <c r="B2" s="427" t="s">
        <v>503</v>
      </c>
      <c r="C2" s="426"/>
    </row>
    <row r="3" spans="2:5" x14ac:dyDescent="0.25">
      <c r="B3" s="430" t="s">
        <v>504</v>
      </c>
      <c r="C3" s="426"/>
      <c r="E3" s="962" t="s">
        <v>636</v>
      </c>
    </row>
    <row r="4" spans="2:5" ht="30" x14ac:dyDescent="0.25">
      <c r="B4" s="430" t="s">
        <v>509</v>
      </c>
      <c r="C4" s="426" t="s">
        <v>511</v>
      </c>
      <c r="E4" s="962"/>
    </row>
    <row r="5" spans="2:5" ht="30" x14ac:dyDescent="0.25">
      <c r="B5" s="430" t="s">
        <v>510</v>
      </c>
      <c r="C5" s="426" t="s">
        <v>511</v>
      </c>
    </row>
    <row r="7" spans="2:5" x14ac:dyDescent="0.25">
      <c r="B7" s="319" t="s">
        <v>521</v>
      </c>
      <c r="C7" s="320"/>
    </row>
    <row r="8" spans="2:5" ht="45" x14ac:dyDescent="0.25">
      <c r="B8" s="437" t="s">
        <v>505</v>
      </c>
      <c r="C8" s="436" t="s">
        <v>506</v>
      </c>
    </row>
    <row r="9" spans="2:5" ht="45" x14ac:dyDescent="0.25">
      <c r="B9" s="437" t="s">
        <v>507</v>
      </c>
      <c r="C9" s="436" t="s">
        <v>508</v>
      </c>
    </row>
    <row r="10" spans="2:5" x14ac:dyDescent="0.25">
      <c r="B10" s="437" t="s">
        <v>513</v>
      </c>
      <c r="C10" s="436" t="s">
        <v>512</v>
      </c>
    </row>
    <row r="11" spans="2:5" ht="30" x14ac:dyDescent="0.25">
      <c r="B11" s="437" t="s">
        <v>516</v>
      </c>
      <c r="C11" s="436" t="s">
        <v>512</v>
      </c>
    </row>
    <row r="12" spans="2:5" ht="30" x14ac:dyDescent="0.25">
      <c r="B12" s="437" t="s">
        <v>515</v>
      </c>
      <c r="C12" s="436" t="s">
        <v>512</v>
      </c>
    </row>
    <row r="13" spans="2:5" x14ac:dyDescent="0.25">
      <c r="B13" s="437" t="s">
        <v>514</v>
      </c>
      <c r="C13" s="436" t="s">
        <v>512</v>
      </c>
    </row>
    <row r="14" spans="2:5" x14ac:dyDescent="0.25">
      <c r="B14" s="437" t="s">
        <v>517</v>
      </c>
      <c r="C14" s="436" t="s">
        <v>512</v>
      </c>
    </row>
    <row r="15" spans="2:5" ht="30" x14ac:dyDescent="0.25">
      <c r="B15" s="437" t="s">
        <v>518</v>
      </c>
      <c r="C15" s="436" t="s">
        <v>519</v>
      </c>
    </row>
    <row r="16" spans="2:5" ht="30" x14ac:dyDescent="0.25">
      <c r="B16" s="437" t="s">
        <v>520</v>
      </c>
      <c r="C16" s="436" t="s">
        <v>519</v>
      </c>
    </row>
    <row r="17" spans="2:2" x14ac:dyDescent="0.25">
      <c r="B17" s="435"/>
    </row>
  </sheetData>
  <mergeCells count="1">
    <mergeCell ref="E3: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563C1"/>
  </sheetPr>
  <dimension ref="B1:S63"/>
  <sheetViews>
    <sheetView zoomScale="85" zoomScaleNormal="85" zoomScaleSheetLayoutView="90" workbookViewId="0">
      <selection activeCell="M13" sqref="M13"/>
    </sheetView>
  </sheetViews>
  <sheetFormatPr defaultColWidth="8.7109375" defaultRowHeight="15" outlineLevelRow="1" x14ac:dyDescent="0.25"/>
  <cols>
    <col min="1" max="1" width="2" style="689" customWidth="1"/>
    <col min="2" max="2" width="32.42578125" style="689" customWidth="1"/>
    <col min="3" max="3" width="41.7109375" style="689" customWidth="1"/>
    <col min="4" max="4" width="13.7109375" style="689" bestFit="1" customWidth="1"/>
    <col min="5" max="5" width="12.28515625" style="689" customWidth="1"/>
    <col min="6" max="6" width="13.28515625" style="689" customWidth="1"/>
    <col min="7" max="7" width="45.42578125" style="689" customWidth="1"/>
    <col min="8" max="16384" width="8.7109375" style="689"/>
  </cols>
  <sheetData>
    <row r="1" spans="2:19" x14ac:dyDescent="0.25">
      <c r="B1" s="706" t="s">
        <v>1380</v>
      </c>
    </row>
    <row r="2" spans="2:19" ht="78.75" customHeight="1" x14ac:dyDescent="0.25">
      <c r="B2" s="964" t="s">
        <v>1678</v>
      </c>
      <c r="C2" s="965"/>
      <c r="D2" s="965"/>
      <c r="E2" s="965"/>
      <c r="F2" s="965"/>
      <c r="G2" s="966"/>
      <c r="H2" s="707"/>
      <c r="I2" s="707"/>
    </row>
    <row r="3" spans="2:19" x14ac:dyDescent="0.25">
      <c r="B3" s="967" t="s">
        <v>1677</v>
      </c>
      <c r="C3" s="967"/>
      <c r="D3" s="967"/>
      <c r="E3" s="708"/>
      <c r="F3" s="708"/>
      <c r="G3" s="708"/>
      <c r="H3" s="707"/>
      <c r="I3" s="707"/>
    </row>
    <row r="4" spans="2:19" ht="15.75" thickBot="1" x14ac:dyDescent="0.3">
      <c r="B4" s="708"/>
      <c r="C4" s="708"/>
      <c r="D4" s="708"/>
      <c r="E4" s="708"/>
      <c r="F4" s="708"/>
      <c r="G4" s="708"/>
      <c r="H4" s="707"/>
      <c r="I4" s="707"/>
    </row>
    <row r="5" spans="2:19" ht="15.75" thickBot="1" x14ac:dyDescent="0.3">
      <c r="B5" s="709" t="e">
        <f>IF('Ambito de Implementação'!C8=1, "Currency = US Dollar", "Currency =" &amp; " " &amp;VLOOKUP('Ambito de Implementação'!C7,Table1[#All],3))</f>
        <v>#N/A</v>
      </c>
      <c r="C5" s="708"/>
      <c r="D5" s="708"/>
      <c r="E5" s="708"/>
      <c r="F5" s="708"/>
      <c r="G5" s="708"/>
      <c r="H5" s="707"/>
      <c r="I5" s="707"/>
    </row>
    <row r="6" spans="2:19" x14ac:dyDescent="0.25">
      <c r="B6" s="708"/>
      <c r="C6" s="708"/>
      <c r="D6" s="708"/>
      <c r="E6" s="708"/>
      <c r="F6" s="708"/>
      <c r="G6" s="708"/>
      <c r="H6" s="707"/>
      <c r="I6" s="707"/>
    </row>
    <row r="7" spans="2:19" ht="30" x14ac:dyDescent="0.25">
      <c r="B7" s="710" t="s">
        <v>1647</v>
      </c>
      <c r="C7" s="710" t="s">
        <v>1648</v>
      </c>
      <c r="D7" s="711" t="s">
        <v>1649</v>
      </c>
      <c r="E7" s="711" t="s">
        <v>1650</v>
      </c>
      <c r="F7" s="711" t="s">
        <v>627</v>
      </c>
      <c r="G7" s="710" t="s">
        <v>1651</v>
      </c>
    </row>
    <row r="8" spans="2:19" x14ac:dyDescent="0.25">
      <c r="B8" s="712" t="s">
        <v>1675</v>
      </c>
      <c r="C8" s="713"/>
      <c r="D8" s="713"/>
      <c r="E8" s="713"/>
      <c r="F8" s="713"/>
      <c r="G8" s="713"/>
    </row>
    <row r="9" spans="2:19" ht="240" hidden="1" outlineLevel="1" x14ac:dyDescent="0.25">
      <c r="B9" s="1019" t="s">
        <v>1746</v>
      </c>
      <c r="C9" s="1019" t="s">
        <v>1747</v>
      </c>
      <c r="D9" s="1043">
        <f>'LMIS TCO_TZ Reference'!I5</f>
        <v>153000</v>
      </c>
      <c r="E9" s="1043">
        <f>'Resumo de Custos'!H8</f>
        <v>0</v>
      </c>
      <c r="F9" s="729" t="s">
        <v>1748</v>
      </c>
      <c r="G9" s="1019" t="s">
        <v>1755</v>
      </c>
    </row>
    <row r="10" spans="2:19" ht="120" hidden="1" outlineLevel="1" x14ac:dyDescent="0.25">
      <c r="B10" s="1019" t="s">
        <v>1749</v>
      </c>
      <c r="C10" s="1019" t="s">
        <v>1750</v>
      </c>
      <c r="D10" s="1043">
        <f>'LMIS TCO_TZ Reference'!I6</f>
        <v>16000</v>
      </c>
      <c r="E10" s="1043">
        <f>'Resumo de Custos'!H9</f>
        <v>0</v>
      </c>
      <c r="F10" s="729" t="s">
        <v>1751</v>
      </c>
      <c r="G10" s="1019" t="s">
        <v>1756</v>
      </c>
    </row>
    <row r="11" spans="2:19" ht="225" hidden="1" outlineLevel="1" x14ac:dyDescent="0.25">
      <c r="B11" s="1044" t="s">
        <v>1640</v>
      </c>
      <c r="C11" s="1045" t="s">
        <v>1758</v>
      </c>
      <c r="D11" s="1046">
        <f>'LMIS TCO_TZ Reference'!I7</f>
        <v>582000</v>
      </c>
      <c r="E11" s="1046">
        <f>'Resumo de Custos'!H10</f>
        <v>0</v>
      </c>
      <c r="F11" s="1047" t="s">
        <v>1751</v>
      </c>
      <c r="G11" s="1044" t="s">
        <v>1757</v>
      </c>
    </row>
    <row r="12" spans="2:19" ht="60" collapsed="1" x14ac:dyDescent="0.25">
      <c r="B12" s="716" t="s">
        <v>332</v>
      </c>
      <c r="D12" s="717">
        <f>SUM(D9:D11)</f>
        <v>751000</v>
      </c>
      <c r="E12" s="717">
        <f>SUM(E9:E11)</f>
        <v>0</v>
      </c>
      <c r="F12" s="715" t="str">
        <f>IF('Custos de Desenvolvimento'!C7="no","Not applicable.",IFERROR(E12/E38,""))</f>
        <v/>
      </c>
      <c r="G12" s="689" t="s">
        <v>1752</v>
      </c>
    </row>
    <row r="13" spans="2:19" x14ac:dyDescent="0.25">
      <c r="B13" s="712" t="s">
        <v>1676</v>
      </c>
      <c r="C13" s="713"/>
      <c r="D13" s="718"/>
      <c r="E13" s="718"/>
      <c r="F13" s="713"/>
      <c r="G13" s="713"/>
      <c r="J13" s="719"/>
      <c r="K13" s="719"/>
      <c r="L13" s="719"/>
      <c r="M13" s="719"/>
      <c r="N13" s="719"/>
      <c r="O13" s="719"/>
      <c r="P13" s="719"/>
      <c r="Q13" s="719"/>
      <c r="R13" s="719"/>
      <c r="S13" s="719"/>
    </row>
    <row r="14" spans="2:19" ht="75" hidden="1" outlineLevel="1" x14ac:dyDescent="0.25">
      <c r="B14" s="1019" t="s">
        <v>1467</v>
      </c>
      <c r="C14" s="1019" t="s">
        <v>1760</v>
      </c>
      <c r="D14" s="1048">
        <f>'LMIS TCO_TZ Reference'!I10</f>
        <v>42590</v>
      </c>
      <c r="E14" s="1048">
        <f>'Resumo de Custos'!H13</f>
        <v>0</v>
      </c>
      <c r="F14" s="1049" t="str">
        <f>IF(AND('Custos de Implantação'!C8="Yes",E14=0),"Not applicable",IF(E14&gt;0,E14/$E$21,"0%"))</f>
        <v>0%</v>
      </c>
      <c r="G14" s="1019" t="s">
        <v>1753</v>
      </c>
      <c r="J14" s="719"/>
      <c r="K14" s="719"/>
      <c r="L14" s="719"/>
      <c r="M14" s="719"/>
      <c r="N14" s="719"/>
      <c r="O14" s="719"/>
      <c r="P14" s="719"/>
      <c r="Q14" s="719"/>
      <c r="R14" s="719"/>
      <c r="S14" s="719"/>
    </row>
    <row r="15" spans="2:19" ht="75" hidden="1" outlineLevel="1" collapsed="1" x14ac:dyDescent="0.25">
      <c r="B15" s="1019" t="s">
        <v>1485</v>
      </c>
      <c r="C15" s="1019" t="s">
        <v>1761</v>
      </c>
      <c r="D15" s="1048">
        <f>'LMIS TCO_TZ Reference'!I11</f>
        <v>143000</v>
      </c>
      <c r="E15" s="1048">
        <f>'Resumo de Custos'!H14</f>
        <v>0</v>
      </c>
      <c r="F15" s="1049" t="str">
        <f>IF(AND('Custos de Implantação'!C50="Yes",E15=0),"Not applicable",IF(E15&gt;0,E15/$E$21,"0%"))</f>
        <v>0%</v>
      </c>
      <c r="G15" s="1019" t="s">
        <v>1754</v>
      </c>
      <c r="J15" s="719"/>
      <c r="K15" s="719"/>
      <c r="L15" s="719"/>
      <c r="M15" s="719"/>
      <c r="N15" s="719"/>
      <c r="O15" s="719"/>
      <c r="P15" s="719"/>
      <c r="Q15" s="719"/>
      <c r="R15" s="719"/>
      <c r="S15" s="719"/>
    </row>
    <row r="16" spans="2:19" ht="75" hidden="1" outlineLevel="1" collapsed="1" x14ac:dyDescent="0.25">
      <c r="B16" s="1019" t="s">
        <v>1759</v>
      </c>
      <c r="C16" s="1019" t="s">
        <v>1762</v>
      </c>
      <c r="D16" s="1048">
        <f>'LMIS TCO_TZ Reference'!I12</f>
        <v>0</v>
      </c>
      <c r="E16" s="1048">
        <f>'Resumo de Custos'!H15</f>
        <v>0</v>
      </c>
      <c r="F16" s="729" t="s">
        <v>1751</v>
      </c>
      <c r="G16" s="1019" t="s">
        <v>1764</v>
      </c>
      <c r="J16" s="719"/>
      <c r="K16" s="719"/>
      <c r="L16" s="719"/>
      <c r="M16" s="719"/>
      <c r="N16" s="719"/>
      <c r="O16" s="719"/>
      <c r="P16" s="719"/>
      <c r="Q16" s="719"/>
      <c r="R16" s="719"/>
      <c r="S16" s="719"/>
    </row>
    <row r="17" spans="2:19" ht="135" hidden="1" outlineLevel="1" collapsed="1" x14ac:dyDescent="0.25">
      <c r="B17" s="1019" t="s">
        <v>1494</v>
      </c>
      <c r="C17" s="1019" t="s">
        <v>1763</v>
      </c>
      <c r="D17" s="1048">
        <f>'LMIS TCO_TZ Reference'!I13</f>
        <v>56850</v>
      </c>
      <c r="E17" s="1048">
        <f>'Resumo de Custos'!H16</f>
        <v>0</v>
      </c>
      <c r="F17" s="729" t="s">
        <v>1751</v>
      </c>
      <c r="G17" s="1019" t="s">
        <v>1765</v>
      </c>
      <c r="J17" s="719"/>
      <c r="K17" s="719"/>
      <c r="L17" s="719"/>
      <c r="M17" s="719"/>
      <c r="N17" s="719"/>
      <c r="O17" s="719"/>
      <c r="P17" s="719"/>
      <c r="Q17" s="719"/>
      <c r="R17" s="719"/>
      <c r="S17" s="719"/>
    </row>
    <row r="18" spans="2:19" ht="75" hidden="1" outlineLevel="1" collapsed="1" x14ac:dyDescent="0.25">
      <c r="B18" s="1019" t="s">
        <v>1640</v>
      </c>
      <c r="C18" s="1019" t="s">
        <v>1766</v>
      </c>
      <c r="D18" s="1048">
        <f>'LMIS TCO_TZ Reference'!I14</f>
        <v>981200</v>
      </c>
      <c r="E18" s="1048">
        <f>'Resumo de Custos'!H17</f>
        <v>0</v>
      </c>
      <c r="F18" s="729" t="s">
        <v>1751</v>
      </c>
      <c r="G18" s="1019" t="s">
        <v>1767</v>
      </c>
      <c r="J18" s="719"/>
      <c r="K18" s="719"/>
      <c r="L18" s="719"/>
      <c r="M18" s="719"/>
      <c r="N18" s="719"/>
      <c r="O18" s="719"/>
      <c r="P18" s="719"/>
      <c r="Q18" s="719"/>
      <c r="R18" s="719"/>
      <c r="S18" s="719"/>
    </row>
    <row r="19" spans="2:19" ht="165" hidden="1" outlineLevel="1" collapsed="1" x14ac:dyDescent="0.25">
      <c r="B19" s="1019" t="s">
        <v>1500</v>
      </c>
      <c r="C19" s="1019" t="s">
        <v>1769</v>
      </c>
      <c r="D19" s="1048"/>
      <c r="E19" s="1048">
        <f>'Resumo de Custos'!H18</f>
        <v>0</v>
      </c>
      <c r="F19" s="1050" t="s">
        <v>1751</v>
      </c>
      <c r="G19" s="1019" t="s">
        <v>1768</v>
      </c>
      <c r="J19" s="719"/>
      <c r="K19" s="719"/>
      <c r="L19" s="719"/>
      <c r="M19" s="719"/>
      <c r="N19" s="719"/>
      <c r="O19" s="719"/>
      <c r="P19" s="719"/>
      <c r="Q19" s="719"/>
      <c r="R19" s="719"/>
      <c r="S19" s="719"/>
    </row>
    <row r="20" spans="2:19" ht="120" hidden="1" outlineLevel="1" collapsed="1" x14ac:dyDescent="0.25">
      <c r="B20" s="1019" t="s">
        <v>1770</v>
      </c>
      <c r="C20" s="1019" t="s">
        <v>1771</v>
      </c>
      <c r="D20" s="1048">
        <f>'LMIS TCO_TZ Reference'!I15</f>
        <v>70638</v>
      </c>
      <c r="E20" s="1048">
        <f>'Resumo de Custos'!H19</f>
        <v>0</v>
      </c>
      <c r="F20" s="1050" t="str">
        <f>IF(E20&gt;0,E20/$E$21,"")</f>
        <v/>
      </c>
      <c r="G20" s="1019" t="s">
        <v>1772</v>
      </c>
      <c r="J20" s="719"/>
      <c r="K20" s="719"/>
      <c r="L20" s="719"/>
      <c r="M20" s="719"/>
      <c r="N20" s="719"/>
      <c r="O20" s="719"/>
      <c r="P20" s="719"/>
      <c r="Q20" s="719"/>
      <c r="R20" s="719"/>
      <c r="S20" s="719"/>
    </row>
    <row r="21" spans="2:19" ht="30" collapsed="1" x14ac:dyDescent="0.25">
      <c r="B21" s="1051" t="s">
        <v>1813</v>
      </c>
      <c r="C21" s="1019"/>
      <c r="D21" s="1048">
        <f>SUM(D14:D20)</f>
        <v>1294278</v>
      </c>
      <c r="E21" s="1048">
        <f>SUM(E14:E20)</f>
        <v>0</v>
      </c>
      <c r="F21" s="1052" t="str">
        <f>IF(E21=0,"",E21/E38)</f>
        <v/>
      </c>
      <c r="G21" s="1019" t="s">
        <v>1773</v>
      </c>
      <c r="J21" s="719"/>
      <c r="K21" s="719"/>
      <c r="L21" s="719"/>
      <c r="M21" s="719"/>
      <c r="N21" s="719"/>
      <c r="O21" s="719"/>
      <c r="P21" s="719"/>
      <c r="Q21" s="719"/>
      <c r="R21" s="719"/>
      <c r="S21" s="719"/>
    </row>
    <row r="22" spans="2:19" x14ac:dyDescent="0.25">
      <c r="B22" s="1053" t="s">
        <v>1732</v>
      </c>
      <c r="C22" s="1054"/>
      <c r="D22" s="1055"/>
      <c r="E22" s="1055"/>
      <c r="F22" s="1054"/>
      <c r="G22" s="1054"/>
      <c r="J22" s="719"/>
      <c r="K22" s="719"/>
      <c r="L22" s="719"/>
      <c r="M22" s="719"/>
      <c r="N22" s="719"/>
      <c r="O22" s="719"/>
      <c r="P22" s="719"/>
      <c r="Q22" s="719"/>
      <c r="R22" s="719"/>
      <c r="S22" s="719"/>
    </row>
    <row r="23" spans="2:19" ht="90" hidden="1" outlineLevel="1" x14ac:dyDescent="0.25">
      <c r="B23" s="1019" t="s">
        <v>1774</v>
      </c>
      <c r="C23" s="1019" t="s">
        <v>1775</v>
      </c>
      <c r="D23" s="1048">
        <f>'LMIS TCO_TZ Reference'!I22</f>
        <v>34072</v>
      </c>
      <c r="E23" s="1048">
        <f>'Resumo de Custos'!H22</f>
        <v>0</v>
      </c>
      <c r="F23" s="729" t="str">
        <f t="shared" ref="F23:F36" si="0">IF(E23&gt;0,E23/$E$37,"")</f>
        <v/>
      </c>
      <c r="G23" s="1019" t="s">
        <v>1776</v>
      </c>
      <c r="J23" s="719"/>
      <c r="K23" s="719"/>
      <c r="L23" s="719"/>
      <c r="M23" s="719"/>
      <c r="N23" s="719"/>
      <c r="O23" s="719"/>
      <c r="P23" s="719"/>
      <c r="Q23" s="719"/>
      <c r="R23" s="719"/>
      <c r="S23" s="719"/>
    </row>
    <row r="24" spans="2:19" ht="90" hidden="1" outlineLevel="1" collapsed="1" x14ac:dyDescent="0.25">
      <c r="B24" s="1019" t="s">
        <v>1777</v>
      </c>
      <c r="C24" s="1019" t="s">
        <v>1778</v>
      </c>
      <c r="D24" s="1048">
        <f>'LMIS TCO_TZ Reference'!I23</f>
        <v>114400</v>
      </c>
      <c r="E24" s="1048">
        <f>'Resumo de Custos'!H23</f>
        <v>0</v>
      </c>
      <c r="F24" s="729" t="str">
        <f t="shared" si="0"/>
        <v/>
      </c>
      <c r="G24" s="1019" t="s">
        <v>1779</v>
      </c>
      <c r="J24" s="719"/>
      <c r="K24" s="719"/>
      <c r="L24" s="719"/>
      <c r="M24" s="719"/>
      <c r="N24" s="719"/>
      <c r="O24" s="719"/>
      <c r="P24" s="719"/>
      <c r="Q24" s="719"/>
      <c r="R24" s="719"/>
      <c r="S24" s="719"/>
    </row>
    <row r="25" spans="2:19" ht="105" hidden="1" outlineLevel="1" collapsed="1" x14ac:dyDescent="0.25">
      <c r="B25" s="1019" t="s">
        <v>1780</v>
      </c>
      <c r="C25" s="1019" t="s">
        <v>1781</v>
      </c>
      <c r="D25" s="1048">
        <f>'LMIS TCO_TZ Reference'!I24</f>
        <v>0</v>
      </c>
      <c r="E25" s="1048">
        <f>'Resumo de Custos'!H24</f>
        <v>0</v>
      </c>
      <c r="F25" s="729" t="str">
        <f t="shared" si="0"/>
        <v/>
      </c>
      <c r="G25" s="1019" t="s">
        <v>1782</v>
      </c>
      <c r="J25" s="719"/>
      <c r="K25" s="719"/>
      <c r="L25" s="719"/>
      <c r="M25" s="719"/>
      <c r="N25" s="719"/>
      <c r="O25" s="719"/>
      <c r="P25" s="719"/>
      <c r="Q25" s="719"/>
      <c r="R25" s="719"/>
      <c r="S25" s="719"/>
    </row>
    <row r="26" spans="2:19" ht="90" hidden="1" outlineLevel="1" collapsed="1" x14ac:dyDescent="0.25">
      <c r="B26" s="1019" t="s">
        <v>1814</v>
      </c>
      <c r="C26" s="1019" t="s">
        <v>1784</v>
      </c>
      <c r="D26" s="1048">
        <f>'LMIS TCO_TZ Reference'!I25</f>
        <v>0</v>
      </c>
      <c r="E26" s="1048">
        <f>'Resumo de Custos'!H25</f>
        <v>0</v>
      </c>
      <c r="F26" s="729" t="str">
        <f t="shared" si="0"/>
        <v/>
      </c>
      <c r="G26" s="1019" t="s">
        <v>1783</v>
      </c>
      <c r="J26" s="719"/>
      <c r="K26" s="719"/>
      <c r="L26" s="719"/>
      <c r="M26" s="719"/>
      <c r="N26" s="719"/>
      <c r="O26" s="719"/>
      <c r="P26" s="719"/>
      <c r="Q26" s="719"/>
      <c r="R26" s="719"/>
      <c r="S26" s="719"/>
    </row>
    <row r="27" spans="2:19" ht="105" hidden="1" outlineLevel="1" collapsed="1" x14ac:dyDescent="0.25">
      <c r="B27" s="1019" t="s">
        <v>1785</v>
      </c>
      <c r="C27" s="1019" t="s">
        <v>1786</v>
      </c>
      <c r="D27" s="1048">
        <f>'LMIS TCO_TZ Reference'!I26</f>
        <v>403308</v>
      </c>
      <c r="E27" s="1048">
        <f>'Resumo de Custos'!H26</f>
        <v>0</v>
      </c>
      <c r="F27" s="729" t="str">
        <f t="shared" si="0"/>
        <v/>
      </c>
      <c r="G27" s="1019" t="s">
        <v>1787</v>
      </c>
      <c r="J27" s="719"/>
      <c r="K27" s="719"/>
      <c r="L27" s="719"/>
      <c r="M27" s="719"/>
      <c r="N27" s="719"/>
      <c r="O27" s="719"/>
      <c r="P27" s="719"/>
      <c r="Q27" s="719"/>
      <c r="R27" s="719"/>
      <c r="S27" s="719"/>
    </row>
    <row r="28" spans="2:19" ht="90" hidden="1" outlineLevel="1" collapsed="1" x14ac:dyDescent="0.25">
      <c r="B28" s="1019" t="s">
        <v>1816</v>
      </c>
      <c r="C28" s="1019" t="s">
        <v>1788</v>
      </c>
      <c r="D28" s="1048">
        <f>'LMIS TCO_TZ Reference'!I27</f>
        <v>364170</v>
      </c>
      <c r="E28" s="1048">
        <f>'Resumo de Custos'!H27</f>
        <v>0</v>
      </c>
      <c r="F28" s="729" t="str">
        <f t="shared" si="0"/>
        <v/>
      </c>
      <c r="G28" s="1019" t="s">
        <v>1817</v>
      </c>
      <c r="J28" s="719"/>
      <c r="K28" s="719"/>
      <c r="L28" s="719"/>
      <c r="M28" s="719"/>
      <c r="N28" s="719"/>
      <c r="O28" s="719"/>
      <c r="P28" s="719"/>
      <c r="Q28" s="719"/>
      <c r="R28" s="719"/>
      <c r="S28" s="719"/>
    </row>
    <row r="29" spans="2:19" ht="90" hidden="1" outlineLevel="1" collapsed="1" x14ac:dyDescent="0.25">
      <c r="B29" s="1019" t="s">
        <v>1789</v>
      </c>
      <c r="C29" s="1019" t="s">
        <v>1790</v>
      </c>
      <c r="D29" s="1048">
        <f>'LMIS TCO_TZ Reference'!I28</f>
        <v>137225</v>
      </c>
      <c r="E29" s="1048">
        <f>'Resumo de Custos'!H28</f>
        <v>0</v>
      </c>
      <c r="F29" s="729" t="str">
        <f t="shared" si="0"/>
        <v/>
      </c>
      <c r="G29" s="1019" t="s">
        <v>1791</v>
      </c>
      <c r="J29" s="719"/>
      <c r="K29" s="719"/>
      <c r="L29" s="719"/>
      <c r="M29" s="719"/>
      <c r="N29" s="719"/>
      <c r="O29" s="719"/>
      <c r="P29" s="719"/>
      <c r="Q29" s="719"/>
      <c r="R29" s="719"/>
      <c r="S29" s="719"/>
    </row>
    <row r="30" spans="2:19" ht="180" hidden="1" outlineLevel="1" collapsed="1" x14ac:dyDescent="0.25">
      <c r="B30" s="1019" t="s">
        <v>1500</v>
      </c>
      <c r="C30" s="1019" t="s">
        <v>1792</v>
      </c>
      <c r="D30" s="1048">
        <f>'LMIS TCO_TZ Reference'!I29</f>
        <v>0</v>
      </c>
      <c r="E30" s="1048">
        <f>'Resumo de Custos'!H29</f>
        <v>0</v>
      </c>
      <c r="F30" s="729" t="str">
        <f t="shared" si="0"/>
        <v/>
      </c>
      <c r="G30" s="1019" t="s">
        <v>1793</v>
      </c>
      <c r="J30" s="719"/>
      <c r="K30" s="719"/>
      <c r="L30" s="719"/>
      <c r="M30" s="719"/>
      <c r="N30" s="719"/>
      <c r="O30" s="719"/>
      <c r="P30" s="719"/>
      <c r="Q30" s="719"/>
      <c r="R30" s="719"/>
      <c r="S30" s="719"/>
    </row>
    <row r="31" spans="2:19" ht="90" hidden="1" outlineLevel="1" collapsed="1" x14ac:dyDescent="0.25">
      <c r="B31" s="1019" t="s">
        <v>1794</v>
      </c>
      <c r="C31" s="1019" t="s">
        <v>1795</v>
      </c>
      <c r="D31" s="1048">
        <f>'LMIS TCO_TZ Reference'!I30</f>
        <v>0</v>
      </c>
      <c r="E31" s="1048">
        <f>'Resumo de Custos'!H30</f>
        <v>0</v>
      </c>
      <c r="F31" s="729" t="str">
        <f t="shared" si="0"/>
        <v/>
      </c>
      <c r="G31" s="1019" t="s">
        <v>1798</v>
      </c>
      <c r="J31" s="719"/>
      <c r="K31" s="719"/>
      <c r="L31" s="719"/>
      <c r="M31" s="719"/>
      <c r="N31" s="719"/>
      <c r="O31" s="719"/>
      <c r="P31" s="719"/>
      <c r="Q31" s="719"/>
      <c r="R31" s="719"/>
      <c r="S31" s="719"/>
    </row>
    <row r="32" spans="2:19" ht="90" hidden="1" outlineLevel="1" collapsed="1" x14ac:dyDescent="0.25">
      <c r="B32" s="1019" t="s">
        <v>1796</v>
      </c>
      <c r="C32" s="1019" t="s">
        <v>1797</v>
      </c>
      <c r="D32" s="1048">
        <f>'LMIS TCO_TZ Reference'!I31</f>
        <v>385595</v>
      </c>
      <c r="E32" s="1048">
        <f>'Resumo de Custos'!H31</f>
        <v>0</v>
      </c>
      <c r="F32" s="729" t="str">
        <f t="shared" si="0"/>
        <v/>
      </c>
      <c r="G32" s="1019" t="s">
        <v>1799</v>
      </c>
      <c r="J32" s="719"/>
      <c r="K32" s="719"/>
      <c r="L32" s="719"/>
      <c r="M32" s="719"/>
      <c r="N32" s="719"/>
      <c r="O32" s="719"/>
      <c r="P32" s="719"/>
      <c r="Q32" s="719"/>
      <c r="R32" s="719"/>
      <c r="S32" s="719"/>
    </row>
    <row r="33" spans="2:19" ht="90" hidden="1" outlineLevel="1" collapsed="1" x14ac:dyDescent="0.25">
      <c r="B33" s="1019" t="s">
        <v>1801</v>
      </c>
      <c r="C33" s="1019" t="s">
        <v>1802</v>
      </c>
      <c r="D33" s="1048">
        <f>'LMIS TCO_TZ Reference'!I32</f>
        <v>0</v>
      </c>
      <c r="E33" s="1048">
        <f>'Resumo de Custos'!H32</f>
        <v>0</v>
      </c>
      <c r="F33" s="729" t="str">
        <f t="shared" si="0"/>
        <v/>
      </c>
      <c r="G33" s="1019" t="s">
        <v>1803</v>
      </c>
      <c r="J33" s="719"/>
      <c r="K33" s="719"/>
      <c r="L33" s="719"/>
      <c r="M33" s="719"/>
      <c r="N33" s="719"/>
      <c r="O33" s="719"/>
      <c r="P33" s="719"/>
      <c r="Q33" s="719"/>
      <c r="R33" s="719"/>
      <c r="S33" s="719"/>
    </row>
    <row r="34" spans="2:19" ht="90" hidden="1" outlineLevel="1" collapsed="1" x14ac:dyDescent="0.25">
      <c r="B34" s="1019" t="s">
        <v>1804</v>
      </c>
      <c r="C34" s="1019" t="s">
        <v>1805</v>
      </c>
      <c r="D34" s="1048">
        <f>'LMIS TCO_TZ Reference'!I33</f>
        <v>395300</v>
      </c>
      <c r="E34" s="1048">
        <f>'Resumo de Custos'!H33</f>
        <v>0</v>
      </c>
      <c r="F34" s="729" t="str">
        <f t="shared" si="0"/>
        <v/>
      </c>
      <c r="G34" s="1019" t="s">
        <v>1806</v>
      </c>
      <c r="J34" s="719"/>
      <c r="K34" s="719"/>
      <c r="L34" s="719"/>
      <c r="M34" s="719"/>
      <c r="N34" s="719"/>
      <c r="O34" s="719"/>
      <c r="P34" s="719"/>
      <c r="Q34" s="719"/>
      <c r="R34" s="719"/>
      <c r="S34" s="719"/>
    </row>
    <row r="35" spans="2:19" ht="90" hidden="1" outlineLevel="1" collapsed="1" x14ac:dyDescent="0.25">
      <c r="B35" s="1019" t="s">
        <v>1807</v>
      </c>
      <c r="C35" s="1019" t="s">
        <v>1808</v>
      </c>
      <c r="D35" s="1048">
        <f>'LMIS TCO_TZ Reference'!I34</f>
        <v>398945</v>
      </c>
      <c r="E35" s="1048">
        <f>'Resumo de Custos'!H34</f>
        <v>0</v>
      </c>
      <c r="F35" s="729" t="str">
        <f t="shared" si="0"/>
        <v/>
      </c>
      <c r="G35" s="1019" t="s">
        <v>1809</v>
      </c>
      <c r="J35" s="719"/>
      <c r="K35" s="719"/>
      <c r="L35" s="719"/>
      <c r="M35" s="719"/>
      <c r="N35" s="719"/>
      <c r="O35" s="719"/>
      <c r="P35" s="719"/>
      <c r="Q35" s="719"/>
      <c r="R35" s="719"/>
      <c r="S35" s="719"/>
    </row>
    <row r="36" spans="2:19" ht="90" hidden="1" outlineLevel="1" collapsed="1" x14ac:dyDescent="0.25">
      <c r="B36" s="1056" t="s">
        <v>1810</v>
      </c>
      <c r="C36" s="1056" t="s">
        <v>1811</v>
      </c>
      <c r="D36" s="1057">
        <f>'LMIS TCO_TZ Reference'!I35</f>
        <v>0</v>
      </c>
      <c r="E36" s="1056">
        <f>'Resumo de Custos'!H35</f>
        <v>0</v>
      </c>
      <c r="F36" s="1058" t="str">
        <f t="shared" si="0"/>
        <v/>
      </c>
      <c r="G36" s="1056" t="s">
        <v>1812</v>
      </c>
      <c r="J36" s="719"/>
      <c r="K36" s="719"/>
      <c r="L36" s="719"/>
      <c r="M36" s="719"/>
      <c r="N36" s="719"/>
      <c r="O36" s="719"/>
      <c r="P36" s="719"/>
      <c r="Q36" s="719"/>
      <c r="R36" s="719"/>
      <c r="S36" s="719"/>
    </row>
    <row r="37" spans="2:19" ht="30" collapsed="1" x14ac:dyDescent="0.25">
      <c r="D37" s="717">
        <f>SUM(D23:D36)</f>
        <v>2233015</v>
      </c>
      <c r="E37" s="717">
        <f>SUM(E23:E36)</f>
        <v>0</v>
      </c>
      <c r="F37" s="715" t="str">
        <f>IF(E37=0,"",E37/E38)</f>
        <v/>
      </c>
      <c r="G37" s="689" t="s">
        <v>1800</v>
      </c>
      <c r="J37" s="719"/>
      <c r="K37" s="719"/>
      <c r="L37" s="719"/>
      <c r="M37" s="719"/>
      <c r="N37" s="719"/>
      <c r="O37" s="719"/>
      <c r="P37" s="719"/>
      <c r="Q37" s="719"/>
      <c r="R37" s="719"/>
      <c r="S37" s="719"/>
    </row>
    <row r="38" spans="2:19" ht="30.75" thickBot="1" x14ac:dyDescent="0.3">
      <c r="B38" s="720" t="s">
        <v>1646</v>
      </c>
      <c r="C38" s="720"/>
      <c r="D38" s="721">
        <f>SUM(D37,D21,D12)</f>
        <v>4278293</v>
      </c>
      <c r="E38" s="721">
        <f>SUM(E37,E21,E12)</f>
        <v>0</v>
      </c>
      <c r="F38" s="720"/>
      <c r="G38" s="720"/>
      <c r="J38" s="719"/>
      <c r="K38" s="719"/>
      <c r="L38" s="719"/>
      <c r="M38" s="719"/>
      <c r="N38" s="719"/>
      <c r="O38" s="719"/>
      <c r="P38" s="719"/>
      <c r="Q38" s="719"/>
      <c r="R38" s="719"/>
      <c r="S38" s="719"/>
    </row>
    <row r="39" spans="2:19" x14ac:dyDescent="0.25">
      <c r="J39" s="719"/>
      <c r="K39" s="719"/>
      <c r="L39" s="719"/>
      <c r="M39" s="719"/>
      <c r="N39" s="719"/>
      <c r="O39" s="719"/>
      <c r="P39" s="719"/>
      <c r="Q39" s="719"/>
      <c r="R39" s="719"/>
      <c r="S39" s="719"/>
    </row>
    <row r="40" spans="2:19" ht="18.75" x14ac:dyDescent="0.25">
      <c r="B40" s="963" t="s">
        <v>1652</v>
      </c>
      <c r="C40" s="963"/>
      <c r="D40" s="963"/>
      <c r="E40" s="963"/>
      <c r="F40" s="963"/>
      <c r="G40" s="963"/>
      <c r="J40" s="719"/>
      <c r="K40" s="719"/>
      <c r="L40" s="719"/>
      <c r="M40" s="719"/>
      <c r="N40" s="719"/>
      <c r="O40" s="719"/>
      <c r="P40" s="719"/>
      <c r="Q40" s="719"/>
      <c r="R40" s="719"/>
      <c r="S40" s="719"/>
    </row>
    <row r="41" spans="2:19" x14ac:dyDescent="0.25">
      <c r="B41" s="722"/>
      <c r="C41" s="723"/>
      <c r="D41" s="723"/>
      <c r="E41" s="723"/>
      <c r="F41" s="723"/>
      <c r="G41" s="723"/>
      <c r="H41" s="719"/>
      <c r="I41" s="719"/>
      <c r="J41" s="719"/>
      <c r="K41" s="719"/>
      <c r="L41" s="719"/>
      <c r="M41" s="719"/>
      <c r="N41" s="719"/>
      <c r="O41" s="719"/>
      <c r="P41" s="719"/>
      <c r="Q41" s="719"/>
      <c r="R41" s="719"/>
      <c r="S41" s="719"/>
    </row>
    <row r="42" spans="2:19" s="724" customFormat="1" x14ac:dyDescent="0.25"/>
    <row r="43" spans="2:19" s="724" customFormat="1" x14ac:dyDescent="0.25"/>
    <row r="44" spans="2:19" s="724" customFormat="1" x14ac:dyDescent="0.25"/>
    <row r="45" spans="2:19" s="724" customFormat="1" x14ac:dyDescent="0.25"/>
    <row r="46" spans="2:19" s="724" customFormat="1" ht="45" x14ac:dyDescent="0.25">
      <c r="C46" s="724" t="s">
        <v>1376</v>
      </c>
      <c r="D46" s="724" t="s">
        <v>1377</v>
      </c>
      <c r="F46" s="725"/>
    </row>
    <row r="47" spans="2:19" s="724" customFormat="1" x14ac:dyDescent="0.25">
      <c r="B47" s="724" t="s">
        <v>1664</v>
      </c>
      <c r="C47" s="726" t="str">
        <f>IF(E12=0,"",E12)</f>
        <v/>
      </c>
      <c r="D47" s="726">
        <f>D12</f>
        <v>751000</v>
      </c>
      <c r="E47" s="726"/>
    </row>
    <row r="48" spans="2:19" s="724" customFormat="1" x14ac:dyDescent="0.25">
      <c r="B48" s="724" t="s">
        <v>1665</v>
      </c>
      <c r="C48" s="726">
        <f>E21</f>
        <v>0</v>
      </c>
      <c r="D48" s="726">
        <f>D21</f>
        <v>1294278</v>
      </c>
      <c r="E48" s="726"/>
    </row>
    <row r="49" spans="2:5" s="724" customFormat="1" x14ac:dyDescent="0.25">
      <c r="B49" s="724" t="s">
        <v>1666</v>
      </c>
      <c r="C49" s="726">
        <f>E37</f>
        <v>0</v>
      </c>
      <c r="D49" s="726">
        <f>D37</f>
        <v>2233015</v>
      </c>
      <c r="E49" s="726"/>
    </row>
    <row r="50" spans="2:5" s="724" customFormat="1" x14ac:dyDescent="0.25"/>
    <row r="51" spans="2:5" s="724" customFormat="1" x14ac:dyDescent="0.25"/>
    <row r="52" spans="2:5" s="724" customFormat="1" x14ac:dyDescent="0.25"/>
    <row r="53" spans="2:5" s="724" customFormat="1" x14ac:dyDescent="0.25"/>
    <row r="54" spans="2:5" s="724" customFormat="1" x14ac:dyDescent="0.25"/>
    <row r="55" spans="2:5" s="724" customFormat="1" x14ac:dyDescent="0.25"/>
    <row r="56" spans="2:5" s="724" customFormat="1" x14ac:dyDescent="0.25"/>
    <row r="57" spans="2:5" s="724" customFormat="1" x14ac:dyDescent="0.25"/>
    <row r="58" spans="2:5" s="724" customFormat="1" x14ac:dyDescent="0.25"/>
    <row r="59" spans="2:5" s="724" customFormat="1" x14ac:dyDescent="0.25"/>
    <row r="60" spans="2:5" s="724" customFormat="1" x14ac:dyDescent="0.25"/>
    <row r="61" spans="2:5" s="724" customFormat="1" x14ac:dyDescent="0.25"/>
    <row r="62" spans="2:5" s="724" customFormat="1" x14ac:dyDescent="0.25"/>
    <row r="63" spans="2:5" s="724" customFormat="1" x14ac:dyDescent="0.25"/>
  </sheetData>
  <sheetProtection formatColumns="0" formatRows="0"/>
  <mergeCells count="3">
    <mergeCell ref="B40:G40"/>
    <mergeCell ref="B2:G2"/>
    <mergeCell ref="B3:D3"/>
  </mergeCells>
  <hyperlinks>
    <hyperlink ref="B1" location="Menu!D13" tooltip="Menu" display="&lt;&lt; Menu" xr:uid="{00000000-0004-0000-1000-000000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563C1"/>
  </sheetPr>
  <dimension ref="B1:L36"/>
  <sheetViews>
    <sheetView zoomScale="80" zoomScaleNormal="80" workbookViewId="0">
      <selection activeCell="C37" sqref="C37"/>
    </sheetView>
  </sheetViews>
  <sheetFormatPr defaultColWidth="8.7109375" defaultRowHeight="15" x14ac:dyDescent="0.25"/>
  <cols>
    <col min="1" max="1" width="2" style="689" customWidth="1"/>
    <col min="2" max="2" width="46.28515625" style="689" customWidth="1"/>
    <col min="3" max="3" width="17.7109375" style="689" customWidth="1"/>
    <col min="4" max="4" width="8.7109375" style="689"/>
    <col min="5" max="5" width="13.42578125" style="689" bestFit="1" customWidth="1"/>
    <col min="6" max="6" width="13.28515625" style="689" bestFit="1" customWidth="1"/>
    <col min="7" max="9" width="12.7109375" style="689" bestFit="1" customWidth="1"/>
    <col min="10" max="10" width="8.7109375" style="689"/>
    <col min="11" max="11" width="16" style="689" customWidth="1"/>
    <col min="12" max="12" width="14.7109375" style="689" bestFit="1" customWidth="1"/>
    <col min="13" max="16384" width="8.7109375" style="689"/>
  </cols>
  <sheetData>
    <row r="1" spans="2:12" ht="15" customHeight="1" x14ac:dyDescent="0.25">
      <c r="B1" s="741" t="s">
        <v>1380</v>
      </c>
    </row>
    <row r="2" spans="2:12" ht="48" customHeight="1" x14ac:dyDescent="0.25">
      <c r="B2" s="968" t="s">
        <v>1681</v>
      </c>
      <c r="C2" s="968"/>
      <c r="D2" s="968"/>
      <c r="E2" s="968"/>
      <c r="F2" s="968"/>
      <c r="G2" s="968"/>
      <c r="H2" s="968"/>
      <c r="I2" s="968"/>
    </row>
    <row r="3" spans="2:12" ht="3.4" customHeight="1" thickBot="1" x14ac:dyDescent="0.3">
      <c r="B3" s="708"/>
      <c r="C3" s="708"/>
      <c r="D3" s="708"/>
      <c r="E3" s="708"/>
      <c r="F3" s="708"/>
      <c r="G3" s="708"/>
      <c r="H3" s="708"/>
      <c r="I3" s="708"/>
    </row>
    <row r="4" spans="2:12" ht="15.75" thickBot="1" x14ac:dyDescent="0.3">
      <c r="B4" s="709" t="e">
        <f>IF('Ambito de Implementação'!C8=1, "Currency = US Dollar", "Currency =" &amp; " " &amp;VLOOKUP('Ambito de Implementação'!C7,Table1[#All],3))</f>
        <v>#N/A</v>
      </c>
      <c r="C4" s="708"/>
      <c r="D4" s="708"/>
      <c r="E4" s="708"/>
      <c r="F4" s="708"/>
      <c r="G4" s="708"/>
      <c r="H4" s="708"/>
      <c r="I4" s="708"/>
    </row>
    <row r="5" spans="2:12" x14ac:dyDescent="0.25">
      <c r="E5" s="969" t="s">
        <v>1659</v>
      </c>
      <c r="F5" s="970"/>
      <c r="G5" s="970"/>
      <c r="H5" s="970"/>
      <c r="I5" s="971"/>
      <c r="K5" s="969" t="s">
        <v>1661</v>
      </c>
      <c r="L5" s="971"/>
    </row>
    <row r="6" spans="2:12" ht="30" x14ac:dyDescent="0.25">
      <c r="B6" s="710" t="s">
        <v>1634</v>
      </c>
      <c r="C6" s="710" t="s">
        <v>1653</v>
      </c>
      <c r="E6" s="972" t="s">
        <v>1660</v>
      </c>
      <c r="F6" s="974" t="s">
        <v>1683</v>
      </c>
      <c r="G6" s="974" t="s">
        <v>960</v>
      </c>
      <c r="H6" s="974" t="s">
        <v>961</v>
      </c>
      <c r="I6" s="974" t="s">
        <v>962</v>
      </c>
      <c r="K6" s="976" t="s">
        <v>1662</v>
      </c>
      <c r="L6" s="976" t="s">
        <v>1663</v>
      </c>
    </row>
    <row r="7" spans="2:12" x14ac:dyDescent="0.25">
      <c r="B7" s="728" t="s">
        <v>1638</v>
      </c>
      <c r="C7" s="728"/>
      <c r="E7" s="973"/>
      <c r="F7" s="975"/>
      <c r="G7" s="975"/>
      <c r="H7" s="975"/>
      <c r="I7" s="975"/>
      <c r="K7" s="976"/>
      <c r="L7" s="976"/>
    </row>
    <row r="8" spans="2:12" x14ac:dyDescent="0.25">
      <c r="B8" s="689" t="s">
        <v>1654</v>
      </c>
      <c r="C8" s="717">
        <f>'Resumo de Custos'!H8</f>
        <v>0</v>
      </c>
      <c r="D8" s="717"/>
      <c r="E8" s="739">
        <v>0</v>
      </c>
      <c r="F8" s="739">
        <v>0</v>
      </c>
      <c r="G8" s="739">
        <v>0</v>
      </c>
      <c r="H8" s="739">
        <v>0</v>
      </c>
      <c r="I8" s="739">
        <v>0</v>
      </c>
      <c r="K8" s="729">
        <f>IFERROR((SUM(E8:I8)/C8),0)</f>
        <v>0</v>
      </c>
      <c r="L8" s="730">
        <f>SUM(C8-(SUM(E8:I8)))</f>
        <v>0</v>
      </c>
    </row>
    <row r="9" spans="2:12" ht="30" x14ac:dyDescent="0.25">
      <c r="B9" s="689" t="s">
        <v>1655</v>
      </c>
      <c r="C9" s="717">
        <f>'Resumo de Custos'!H9</f>
        <v>0</v>
      </c>
      <c r="D9" s="717"/>
      <c r="E9" s="739">
        <v>0</v>
      </c>
      <c r="F9" s="739">
        <v>0</v>
      </c>
      <c r="G9" s="739">
        <v>0</v>
      </c>
      <c r="H9" s="739">
        <v>0</v>
      </c>
      <c r="I9" s="739">
        <v>0</v>
      </c>
      <c r="K9" s="729">
        <f t="shared" ref="K9:K35" si="0">IFERROR((SUM(E9:I9)/C9),0)</f>
        <v>0</v>
      </c>
      <c r="L9" s="730">
        <f t="shared" ref="L9:L35" si="1">SUM(C9-(SUM(E9:I9)))</f>
        <v>0</v>
      </c>
    </row>
    <row r="10" spans="2:12" x14ac:dyDescent="0.25">
      <c r="B10" s="689" t="s">
        <v>1640</v>
      </c>
      <c r="C10" s="717">
        <f>'Resumo de Custos'!H10</f>
        <v>0</v>
      </c>
      <c r="D10" s="717"/>
      <c r="E10" s="739">
        <v>0</v>
      </c>
      <c r="F10" s="739">
        <v>0</v>
      </c>
      <c r="G10" s="739">
        <v>0</v>
      </c>
      <c r="H10" s="739">
        <v>0</v>
      </c>
      <c r="I10" s="739">
        <v>0</v>
      </c>
      <c r="K10" s="729">
        <f t="shared" si="0"/>
        <v>0</v>
      </c>
      <c r="L10" s="730">
        <f t="shared" si="1"/>
        <v>0</v>
      </c>
    </row>
    <row r="11" spans="2:12" x14ac:dyDescent="0.25">
      <c r="B11" s="731" t="s">
        <v>1641</v>
      </c>
      <c r="C11" s="732"/>
      <c r="D11" s="717"/>
      <c r="E11" s="717"/>
      <c r="F11" s="717"/>
      <c r="G11" s="717"/>
      <c r="H11" s="717"/>
      <c r="I11" s="717"/>
      <c r="K11" s="729">
        <f t="shared" si="0"/>
        <v>0</v>
      </c>
      <c r="L11" s="730">
        <f t="shared" si="1"/>
        <v>0</v>
      </c>
    </row>
    <row r="12" spans="2:12" x14ac:dyDescent="0.25">
      <c r="B12" s="689" t="s">
        <v>1467</v>
      </c>
      <c r="C12" s="717">
        <v>0</v>
      </c>
      <c r="D12" s="717"/>
      <c r="E12" s="739">
        <v>0</v>
      </c>
      <c r="F12" s="739">
        <v>0</v>
      </c>
      <c r="G12" s="739">
        <v>0</v>
      </c>
      <c r="H12" s="739">
        <v>0</v>
      </c>
      <c r="I12" s="739">
        <v>0</v>
      </c>
      <c r="K12" s="729">
        <f t="shared" si="0"/>
        <v>0</v>
      </c>
      <c r="L12" s="730">
        <f t="shared" si="1"/>
        <v>0</v>
      </c>
    </row>
    <row r="13" spans="2:12" x14ac:dyDescent="0.25">
      <c r="B13" s="689" t="s">
        <v>1485</v>
      </c>
      <c r="C13" s="717">
        <v>0</v>
      </c>
      <c r="D13" s="717"/>
      <c r="E13" s="739">
        <v>0</v>
      </c>
      <c r="F13" s="739">
        <v>0</v>
      </c>
      <c r="G13" s="739">
        <v>0</v>
      </c>
      <c r="H13" s="739">
        <v>0</v>
      </c>
      <c r="I13" s="739">
        <v>0</v>
      </c>
      <c r="K13" s="729">
        <f t="shared" si="0"/>
        <v>0</v>
      </c>
      <c r="L13" s="730">
        <f t="shared" si="1"/>
        <v>0</v>
      </c>
    </row>
    <row r="14" spans="2:12" x14ac:dyDescent="0.25">
      <c r="B14" s="689" t="s">
        <v>1656</v>
      </c>
      <c r="C14" s="717">
        <v>0</v>
      </c>
      <c r="D14" s="717"/>
      <c r="E14" s="739">
        <v>0</v>
      </c>
      <c r="F14" s="739">
        <v>0</v>
      </c>
      <c r="G14" s="739">
        <v>0</v>
      </c>
      <c r="H14" s="739">
        <v>0</v>
      </c>
      <c r="I14" s="739">
        <v>0</v>
      </c>
      <c r="K14" s="729">
        <f t="shared" si="0"/>
        <v>0</v>
      </c>
      <c r="L14" s="730">
        <f t="shared" si="1"/>
        <v>0</v>
      </c>
    </row>
    <row r="15" spans="2:12" x14ac:dyDescent="0.25">
      <c r="B15" s="689" t="s">
        <v>1657</v>
      </c>
      <c r="C15" s="717">
        <v>0</v>
      </c>
      <c r="D15" s="717"/>
      <c r="E15" s="739">
        <v>0</v>
      </c>
      <c r="F15" s="739">
        <v>0</v>
      </c>
      <c r="G15" s="739">
        <v>0</v>
      </c>
      <c r="H15" s="739">
        <v>0</v>
      </c>
      <c r="I15" s="739">
        <v>0</v>
      </c>
      <c r="K15" s="729">
        <f t="shared" si="0"/>
        <v>0</v>
      </c>
      <c r="L15" s="730">
        <f t="shared" si="1"/>
        <v>0</v>
      </c>
    </row>
    <row r="16" spans="2:12" x14ac:dyDescent="0.25">
      <c r="B16" s="689" t="s">
        <v>1497</v>
      </c>
      <c r="C16" s="717">
        <v>0</v>
      </c>
      <c r="D16" s="717"/>
      <c r="E16" s="739">
        <v>0</v>
      </c>
      <c r="F16" s="739">
        <v>0</v>
      </c>
      <c r="G16" s="739">
        <v>0</v>
      </c>
      <c r="H16" s="739">
        <v>0</v>
      </c>
      <c r="I16" s="739">
        <v>0</v>
      </c>
      <c r="K16" s="729">
        <f t="shared" si="0"/>
        <v>0</v>
      </c>
      <c r="L16" s="730">
        <f t="shared" si="1"/>
        <v>0</v>
      </c>
    </row>
    <row r="17" spans="2:12" x14ac:dyDescent="0.25">
      <c r="B17" s="689" t="s">
        <v>1500</v>
      </c>
      <c r="C17" s="717">
        <v>0</v>
      </c>
      <c r="D17" s="717"/>
      <c r="E17" s="739">
        <v>0</v>
      </c>
      <c r="F17" s="739">
        <v>0</v>
      </c>
      <c r="G17" s="739">
        <v>0</v>
      </c>
      <c r="H17" s="739">
        <v>0</v>
      </c>
      <c r="I17" s="739">
        <v>0</v>
      </c>
      <c r="K17" s="729">
        <f t="shared" si="0"/>
        <v>0</v>
      </c>
      <c r="L17" s="730">
        <f t="shared" si="1"/>
        <v>0</v>
      </c>
    </row>
    <row r="18" spans="2:12" x14ac:dyDescent="0.25">
      <c r="B18" s="689" t="s">
        <v>1815</v>
      </c>
      <c r="C18" s="717">
        <v>0</v>
      </c>
      <c r="D18" s="717"/>
      <c r="E18" s="739">
        <v>0</v>
      </c>
      <c r="F18" s="739">
        <v>0</v>
      </c>
      <c r="G18" s="739">
        <v>0</v>
      </c>
      <c r="H18" s="739">
        <v>0</v>
      </c>
      <c r="I18" s="739">
        <v>0</v>
      </c>
      <c r="K18" s="729">
        <f t="shared" si="0"/>
        <v>0</v>
      </c>
      <c r="L18" s="730">
        <f t="shared" si="1"/>
        <v>0</v>
      </c>
    </row>
    <row r="19" spans="2:12" x14ac:dyDescent="0.25">
      <c r="B19" s="731" t="s">
        <v>1643</v>
      </c>
      <c r="C19" s="732"/>
      <c r="D19" s="717"/>
      <c r="E19" s="717"/>
      <c r="F19" s="717"/>
      <c r="G19" s="717"/>
      <c r="H19" s="717"/>
      <c r="I19" s="717"/>
      <c r="K19" s="729">
        <f t="shared" si="0"/>
        <v>0</v>
      </c>
      <c r="L19" s="730">
        <f t="shared" si="1"/>
        <v>0</v>
      </c>
    </row>
    <row r="20" spans="2:12" x14ac:dyDescent="0.25">
      <c r="B20" s="689" t="s">
        <v>1644</v>
      </c>
      <c r="C20" s="717">
        <v>0</v>
      </c>
      <c r="D20" s="717"/>
      <c r="E20" s="739">
        <v>0</v>
      </c>
      <c r="F20" s="739">
        <v>0</v>
      </c>
      <c r="G20" s="739">
        <v>0</v>
      </c>
      <c r="H20" s="739">
        <v>0</v>
      </c>
      <c r="I20" s="739">
        <v>0</v>
      </c>
      <c r="K20" s="729">
        <f t="shared" si="0"/>
        <v>0</v>
      </c>
      <c r="L20" s="730">
        <f t="shared" si="1"/>
        <v>0</v>
      </c>
    </row>
    <row r="21" spans="2:12" x14ac:dyDescent="0.25">
      <c r="B21" s="689" t="s">
        <v>1599</v>
      </c>
      <c r="C21" s="717">
        <v>0</v>
      </c>
      <c r="D21" s="717"/>
      <c r="E21" s="739">
        <v>0</v>
      </c>
      <c r="F21" s="739">
        <v>0</v>
      </c>
      <c r="G21" s="739">
        <v>0</v>
      </c>
      <c r="H21" s="739">
        <v>0</v>
      </c>
      <c r="I21" s="739">
        <v>0</v>
      </c>
      <c r="K21" s="729">
        <f t="shared" si="0"/>
        <v>0</v>
      </c>
      <c r="L21" s="730">
        <f t="shared" si="1"/>
        <v>0</v>
      </c>
    </row>
    <row r="22" spans="2:12" x14ac:dyDescent="0.25">
      <c r="B22" s="689" t="s">
        <v>1780</v>
      </c>
      <c r="C22" s="717">
        <v>0</v>
      </c>
      <c r="D22" s="717"/>
      <c r="E22" s="739">
        <v>0</v>
      </c>
      <c r="F22" s="739">
        <v>0</v>
      </c>
      <c r="G22" s="739">
        <v>0</v>
      </c>
      <c r="H22" s="739">
        <v>0</v>
      </c>
      <c r="I22" s="739">
        <v>0</v>
      </c>
      <c r="K22" s="729">
        <f t="shared" si="0"/>
        <v>0</v>
      </c>
      <c r="L22" s="730">
        <f t="shared" si="1"/>
        <v>0</v>
      </c>
    </row>
    <row r="23" spans="2:12" x14ac:dyDescent="0.25">
      <c r="B23" s="689" t="s">
        <v>1814</v>
      </c>
      <c r="C23" s="717">
        <v>0</v>
      </c>
      <c r="D23" s="717"/>
      <c r="E23" s="739">
        <v>0</v>
      </c>
      <c r="F23" s="739">
        <v>0</v>
      </c>
      <c r="G23" s="739">
        <v>0</v>
      </c>
      <c r="H23" s="739">
        <v>0</v>
      </c>
      <c r="I23" s="739">
        <v>0</v>
      </c>
      <c r="K23" s="729">
        <f t="shared" si="0"/>
        <v>0</v>
      </c>
      <c r="L23" s="730">
        <f t="shared" si="1"/>
        <v>0</v>
      </c>
    </row>
    <row r="24" spans="2:12" x14ac:dyDescent="0.25">
      <c r="B24" s="689" t="s">
        <v>1606</v>
      </c>
      <c r="C24" s="717">
        <v>0</v>
      </c>
      <c r="D24" s="717"/>
      <c r="E24" s="739">
        <v>0</v>
      </c>
      <c r="F24" s="739">
        <v>0</v>
      </c>
      <c r="G24" s="739">
        <v>0</v>
      </c>
      <c r="H24" s="739">
        <v>0</v>
      </c>
      <c r="I24" s="739">
        <v>0</v>
      </c>
      <c r="K24" s="729">
        <f t="shared" si="0"/>
        <v>0</v>
      </c>
      <c r="L24" s="730">
        <f t="shared" si="1"/>
        <v>0</v>
      </c>
    </row>
    <row r="25" spans="2:12" x14ac:dyDescent="0.25">
      <c r="B25" s="689" t="s">
        <v>1611</v>
      </c>
      <c r="C25" s="717">
        <v>0</v>
      </c>
      <c r="D25" s="717"/>
      <c r="E25" s="739">
        <v>0</v>
      </c>
      <c r="F25" s="739">
        <v>0</v>
      </c>
      <c r="G25" s="739">
        <v>0</v>
      </c>
      <c r="H25" s="739">
        <v>0</v>
      </c>
      <c r="I25" s="739">
        <v>0</v>
      </c>
      <c r="K25" s="729">
        <f t="shared" si="0"/>
        <v>0</v>
      </c>
      <c r="L25" s="730">
        <f t="shared" si="1"/>
        <v>0</v>
      </c>
    </row>
    <row r="26" spans="2:12" x14ac:dyDescent="0.25">
      <c r="B26" s="689" t="s">
        <v>1618</v>
      </c>
      <c r="C26" s="717">
        <v>0</v>
      </c>
      <c r="D26" s="717"/>
      <c r="E26" s="739">
        <v>0</v>
      </c>
      <c r="F26" s="739">
        <v>0</v>
      </c>
      <c r="G26" s="739">
        <v>0</v>
      </c>
      <c r="H26" s="739">
        <v>0</v>
      </c>
      <c r="I26" s="739">
        <v>0</v>
      </c>
      <c r="K26" s="729">
        <f t="shared" si="0"/>
        <v>0</v>
      </c>
      <c r="L26" s="730">
        <f t="shared" si="1"/>
        <v>0</v>
      </c>
    </row>
    <row r="27" spans="2:12" x14ac:dyDescent="0.25">
      <c r="B27" s="689" t="s">
        <v>1500</v>
      </c>
      <c r="C27" s="717">
        <v>0</v>
      </c>
      <c r="D27" s="717"/>
      <c r="E27" s="739">
        <v>0</v>
      </c>
      <c r="F27" s="739">
        <v>0</v>
      </c>
      <c r="G27" s="739">
        <v>0</v>
      </c>
      <c r="H27" s="739">
        <v>0</v>
      </c>
      <c r="I27" s="739">
        <v>0</v>
      </c>
      <c r="K27" s="729">
        <f t="shared" si="0"/>
        <v>0</v>
      </c>
      <c r="L27" s="730">
        <f t="shared" si="1"/>
        <v>0</v>
      </c>
    </row>
    <row r="28" spans="2:12" x14ac:dyDescent="0.25">
      <c r="B28" s="689" t="s">
        <v>1621</v>
      </c>
      <c r="C28" s="717">
        <v>0</v>
      </c>
      <c r="D28" s="717"/>
      <c r="E28" s="739">
        <v>0</v>
      </c>
      <c r="F28" s="739">
        <v>0</v>
      </c>
      <c r="G28" s="739">
        <v>0</v>
      </c>
      <c r="H28" s="739">
        <v>0</v>
      </c>
      <c r="I28" s="739">
        <v>0</v>
      </c>
      <c r="K28" s="729">
        <f t="shared" si="0"/>
        <v>0</v>
      </c>
      <c r="L28" s="730">
        <f t="shared" si="1"/>
        <v>0</v>
      </c>
    </row>
    <row r="29" spans="2:12" x14ac:dyDescent="0.25">
      <c r="B29" s="689" t="s">
        <v>1623</v>
      </c>
      <c r="C29" s="717">
        <v>0</v>
      </c>
      <c r="D29" s="717"/>
      <c r="E29" s="739">
        <v>0</v>
      </c>
      <c r="F29" s="739">
        <v>0</v>
      </c>
      <c r="G29" s="739">
        <v>0</v>
      </c>
      <c r="H29" s="739">
        <v>0</v>
      </c>
      <c r="I29" s="739">
        <v>0</v>
      </c>
      <c r="K29" s="729">
        <f t="shared" si="0"/>
        <v>0</v>
      </c>
      <c r="L29" s="730">
        <f t="shared" si="1"/>
        <v>0</v>
      </c>
    </row>
    <row r="30" spans="2:12" x14ac:dyDescent="0.25">
      <c r="B30" s="689" t="s">
        <v>1682</v>
      </c>
      <c r="C30" s="717">
        <v>0</v>
      </c>
      <c r="D30" s="717"/>
      <c r="E30" s="739">
        <v>0</v>
      </c>
      <c r="F30" s="739">
        <v>0</v>
      </c>
      <c r="G30" s="739">
        <v>0</v>
      </c>
      <c r="H30" s="739">
        <v>0</v>
      </c>
      <c r="I30" s="739">
        <v>0</v>
      </c>
      <c r="K30" s="729">
        <f t="shared" si="0"/>
        <v>0</v>
      </c>
      <c r="L30" s="730">
        <f t="shared" si="1"/>
        <v>0</v>
      </c>
    </row>
    <row r="31" spans="2:12" x14ac:dyDescent="0.25">
      <c r="B31" s="689" t="s">
        <v>1627</v>
      </c>
      <c r="C31" s="717">
        <v>0</v>
      </c>
      <c r="D31" s="717"/>
      <c r="E31" s="739">
        <v>0</v>
      </c>
      <c r="F31" s="739">
        <v>0</v>
      </c>
      <c r="G31" s="739">
        <v>0</v>
      </c>
      <c r="H31" s="739">
        <v>0</v>
      </c>
      <c r="I31" s="739">
        <v>0</v>
      </c>
      <c r="K31" s="729">
        <f t="shared" si="0"/>
        <v>0</v>
      </c>
      <c r="L31" s="730">
        <f t="shared" si="1"/>
        <v>0</v>
      </c>
    </row>
    <row r="32" spans="2:12" x14ac:dyDescent="0.25">
      <c r="B32" s="689" t="s">
        <v>1658</v>
      </c>
      <c r="C32" s="717">
        <v>0</v>
      </c>
      <c r="D32" s="717"/>
      <c r="E32" s="739">
        <v>0</v>
      </c>
      <c r="F32" s="739">
        <v>0</v>
      </c>
      <c r="G32" s="739">
        <v>0</v>
      </c>
      <c r="H32" s="739">
        <v>0</v>
      </c>
      <c r="I32" s="739">
        <v>0</v>
      </c>
      <c r="K32" s="729">
        <f t="shared" si="0"/>
        <v>0</v>
      </c>
      <c r="L32" s="730">
        <f t="shared" si="1"/>
        <v>0</v>
      </c>
    </row>
    <row r="33" spans="2:12" ht="15.75" thickBot="1" x14ac:dyDescent="0.3">
      <c r="B33" s="733" t="s">
        <v>1684</v>
      </c>
      <c r="C33" s="734">
        <v>0</v>
      </c>
      <c r="D33" s="717"/>
      <c r="E33" s="739">
        <v>0</v>
      </c>
      <c r="F33" s="739">
        <v>0</v>
      </c>
      <c r="G33" s="739">
        <v>0</v>
      </c>
      <c r="H33" s="739">
        <v>0</v>
      </c>
      <c r="I33" s="739">
        <v>0</v>
      </c>
      <c r="K33" s="729">
        <f t="shared" si="0"/>
        <v>0</v>
      </c>
      <c r="L33" s="730">
        <f t="shared" si="1"/>
        <v>0</v>
      </c>
    </row>
    <row r="34" spans="2:12" ht="15.75" thickTop="1" x14ac:dyDescent="0.25">
      <c r="B34" s="1026" t="s">
        <v>1745</v>
      </c>
      <c r="C34" s="717">
        <f>'Resumo de Custos'!H36</f>
        <v>0</v>
      </c>
      <c r="D34" s="717"/>
      <c r="E34" s="730">
        <f>SUM(E20:E33)</f>
        <v>0</v>
      </c>
      <c r="F34" s="730">
        <f>SUM(F20:F33)</f>
        <v>0</v>
      </c>
      <c r="G34" s="730">
        <f>SUM(G20:G33)</f>
        <v>0</v>
      </c>
      <c r="H34" s="730">
        <f>SUM(H20:H33)</f>
        <v>0</v>
      </c>
      <c r="I34" s="730">
        <f>SUM(I20:I33)</f>
        <v>0</v>
      </c>
      <c r="K34" s="729">
        <f t="shared" si="0"/>
        <v>0</v>
      </c>
      <c r="L34" s="730">
        <f t="shared" si="1"/>
        <v>0</v>
      </c>
    </row>
    <row r="35" spans="2:12" x14ac:dyDescent="0.25">
      <c r="B35" s="1026" t="s">
        <v>1744</v>
      </c>
      <c r="C35" s="717">
        <f>'Resumo de Custos'!H37</f>
        <v>0</v>
      </c>
      <c r="D35" s="717"/>
      <c r="E35" s="730">
        <f>SUM(E8:E10,E12:E18)</f>
        <v>0</v>
      </c>
      <c r="F35" s="730">
        <f>SUM(F8:F10,F12:F18)</f>
        <v>0</v>
      </c>
      <c r="G35" s="730">
        <f>SUM(G8:G10,G12:G18)</f>
        <v>0</v>
      </c>
      <c r="H35" s="730">
        <f>SUM(H8:H10,H12:H18)</f>
        <v>0</v>
      </c>
      <c r="I35" s="730">
        <f>SUM(I8:I10,I12:I18)</f>
        <v>0</v>
      </c>
      <c r="K35" s="729">
        <f t="shared" si="0"/>
        <v>0</v>
      </c>
      <c r="L35" s="730">
        <f t="shared" si="1"/>
        <v>0</v>
      </c>
    </row>
    <row r="36" spans="2:12" x14ac:dyDescent="0.25">
      <c r="B36" s="722" t="s">
        <v>1646</v>
      </c>
      <c r="C36" s="736">
        <f>'Resumo de Custos'!H38</f>
        <v>0</v>
      </c>
      <c r="D36" s="717"/>
      <c r="E36" s="737">
        <f>SUM(E34:E35)</f>
        <v>0</v>
      </c>
      <c r="F36" s="737">
        <f>SUM(F34:F35)</f>
        <v>0</v>
      </c>
      <c r="G36" s="737">
        <f>SUM(G34:G35)</f>
        <v>0</v>
      </c>
      <c r="H36" s="737">
        <f>SUM(H34:H35)</f>
        <v>0</v>
      </c>
      <c r="I36" s="737">
        <f>SUM(I34:I35)</f>
        <v>0</v>
      </c>
      <c r="K36" s="738">
        <f>IFERROR((SUM(E36:I36)/C36),0)</f>
        <v>0</v>
      </c>
      <c r="L36" s="737">
        <f>SUM(C36-(SUM(E36:I36)))</f>
        <v>0</v>
      </c>
    </row>
  </sheetData>
  <sheetProtection formatColumns="0" formatRows="0"/>
  <mergeCells count="10">
    <mergeCell ref="B2:I2"/>
    <mergeCell ref="E5:I5"/>
    <mergeCell ref="K5:L5"/>
    <mergeCell ref="E6:E7"/>
    <mergeCell ref="F6:F7"/>
    <mergeCell ref="G6:G7"/>
    <mergeCell ref="H6:H7"/>
    <mergeCell ref="I6:I7"/>
    <mergeCell ref="K6:K7"/>
    <mergeCell ref="L6:L7"/>
  </mergeCells>
  <hyperlinks>
    <hyperlink ref="B1" location="Menu!D14" tooltip="Menu" display="&lt;&lt; Menu"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FF0000"/>
  </sheetPr>
  <dimension ref="A1:E81"/>
  <sheetViews>
    <sheetView showGridLines="0" workbookViewId="0">
      <pane ySplit="5" topLeftCell="A6" activePane="bottomLeft" state="frozen"/>
      <selection pane="bottomLeft" activeCell="B14" sqref="B14"/>
    </sheetView>
  </sheetViews>
  <sheetFormatPr defaultColWidth="10.7109375" defaultRowHeight="15" x14ac:dyDescent="0.25"/>
  <cols>
    <col min="1" max="1" width="68.28515625" customWidth="1"/>
    <col min="2" max="3" width="20" customWidth="1"/>
    <col min="4" max="4" width="80" customWidth="1"/>
    <col min="5" max="5" width="42.7109375" customWidth="1"/>
  </cols>
  <sheetData>
    <row r="1" spans="1:5" ht="23.25" x14ac:dyDescent="0.35">
      <c r="A1" s="481" t="s">
        <v>652</v>
      </c>
      <c r="B1" s="499"/>
      <c r="C1" s="315"/>
      <c r="D1" s="315"/>
      <c r="E1" s="315"/>
    </row>
    <row r="2" spans="1:5" ht="15" customHeight="1" x14ac:dyDescent="0.35">
      <c r="A2" s="481"/>
      <c r="B2" s="499"/>
      <c r="C2" s="315"/>
      <c r="D2" s="315"/>
      <c r="E2" s="315"/>
    </row>
    <row r="3" spans="1:5" ht="15" customHeight="1" x14ac:dyDescent="0.35">
      <c r="A3" s="481"/>
      <c r="B3" s="499"/>
      <c r="C3" s="315"/>
      <c r="D3" s="315"/>
      <c r="E3" s="315"/>
    </row>
    <row r="4" spans="1:5" ht="15" customHeight="1" x14ac:dyDescent="0.35">
      <c r="A4" s="481"/>
      <c r="B4" s="499"/>
      <c r="C4" s="315"/>
      <c r="D4" s="315"/>
      <c r="E4" s="315"/>
    </row>
    <row r="5" spans="1:5" x14ac:dyDescent="0.25">
      <c r="B5" s="617" t="s">
        <v>964</v>
      </c>
      <c r="C5" s="609" t="s">
        <v>965</v>
      </c>
      <c r="D5" s="609" t="s">
        <v>966</v>
      </c>
      <c r="E5" s="608" t="s">
        <v>935</v>
      </c>
    </row>
    <row r="6" spans="1:5" s="315" customFormat="1" ht="76.5" x14ac:dyDescent="0.35">
      <c r="A6" s="607" t="s">
        <v>650</v>
      </c>
      <c r="B6" s="500"/>
      <c r="C6" s="603"/>
      <c r="D6" s="632" t="s">
        <v>892</v>
      </c>
      <c r="E6" s="491"/>
    </row>
    <row r="7" spans="1:5" s="315" customFormat="1" x14ac:dyDescent="0.25"/>
    <row r="8" spans="1:5" ht="30" x14ac:dyDescent="0.25">
      <c r="A8" s="637" t="s">
        <v>19</v>
      </c>
      <c r="B8" s="644"/>
      <c r="C8" s="627"/>
      <c r="D8" s="639" t="s">
        <v>663</v>
      </c>
      <c r="E8" s="640"/>
    </row>
    <row r="9" spans="1:5" s="315" customFormat="1" ht="30" x14ac:dyDescent="0.25">
      <c r="A9" s="647" t="s">
        <v>866</v>
      </c>
      <c r="B9" s="645" t="e">
        <f>'Ambito de Implementação'!#REF!</f>
        <v>#REF!</v>
      </c>
      <c r="C9" s="641">
        <v>0.2</v>
      </c>
      <c r="D9" s="472" t="s">
        <v>865</v>
      </c>
      <c r="E9" s="478" t="s">
        <v>934</v>
      </c>
    </row>
    <row r="10" spans="1:5" s="315" customFormat="1" ht="30" x14ac:dyDescent="0.25">
      <c r="A10" s="648" t="s">
        <v>1184</v>
      </c>
      <c r="B10" s="646" t="e">
        <f>B9*'Custos de Implantação'!#REF!</f>
        <v>#REF!</v>
      </c>
      <c r="C10" s="642"/>
      <c r="D10" s="472" t="s">
        <v>895</v>
      </c>
      <c r="E10" s="478" t="s">
        <v>938</v>
      </c>
    </row>
    <row r="11" spans="1:5" s="315" customFormat="1" ht="30" x14ac:dyDescent="0.25">
      <c r="A11" s="648" t="s">
        <v>1185</v>
      </c>
      <c r="B11" s="646" t="e">
        <f>B9*'Custos de Implantação'!#REF!</f>
        <v>#REF!</v>
      </c>
      <c r="C11" s="642"/>
      <c r="D11" s="472" t="s">
        <v>895</v>
      </c>
      <c r="E11" s="483"/>
    </row>
    <row r="12" spans="1:5" s="315" customFormat="1" ht="30" x14ac:dyDescent="0.25">
      <c r="A12" s="648" t="s">
        <v>1186</v>
      </c>
      <c r="B12" s="646" t="e">
        <f>B9*'Custos de Implantação'!#REF!</f>
        <v>#REF!</v>
      </c>
      <c r="C12" s="642"/>
      <c r="D12" s="472" t="s">
        <v>895</v>
      </c>
      <c r="E12" s="483"/>
    </row>
    <row r="13" spans="1:5" s="315" customFormat="1" ht="30" x14ac:dyDescent="0.25">
      <c r="A13" s="648" t="s">
        <v>1187</v>
      </c>
      <c r="B13" s="646" t="e">
        <f>B9*'Custos de Implantação'!#REF!</f>
        <v>#REF!</v>
      </c>
      <c r="C13" s="642"/>
      <c r="D13" s="472" t="s">
        <v>895</v>
      </c>
      <c r="E13" s="483"/>
    </row>
    <row r="14" spans="1:5" s="315" customFormat="1" ht="30" x14ac:dyDescent="0.25">
      <c r="A14" s="648" t="s">
        <v>1188</v>
      </c>
      <c r="B14" s="646" t="e">
        <f>B9*'Custos de Implantação'!C42</f>
        <v>#REF!</v>
      </c>
      <c r="C14" s="642"/>
      <c r="D14" s="472" t="s">
        <v>895</v>
      </c>
      <c r="E14" s="483"/>
    </row>
    <row r="15" spans="1:5" s="315" customFormat="1" x14ac:dyDescent="0.25">
      <c r="B15" s="501"/>
      <c r="C15" s="479"/>
      <c r="D15" s="479"/>
    </row>
    <row r="16" spans="1:5" ht="45" x14ac:dyDescent="0.25">
      <c r="A16" s="637" t="s">
        <v>664</v>
      </c>
      <c r="B16" s="637"/>
      <c r="C16" s="631"/>
      <c r="D16" s="639" t="s">
        <v>665</v>
      </c>
      <c r="E16" s="640"/>
    </row>
    <row r="17" spans="1:5" s="315" customFormat="1" ht="30" x14ac:dyDescent="0.25">
      <c r="A17" s="647" t="s">
        <v>867</v>
      </c>
      <c r="B17" s="527" t="e">
        <f>'Ambito de Implementação'!#REF!</f>
        <v>#REF!</v>
      </c>
      <c r="C17" s="641">
        <v>0.2</v>
      </c>
      <c r="D17" s="472" t="s">
        <v>868</v>
      </c>
      <c r="E17" s="478" t="s">
        <v>934</v>
      </c>
    </row>
    <row r="18" spans="1:5" s="315" customFormat="1" ht="30" x14ac:dyDescent="0.25">
      <c r="A18" s="648" t="s">
        <v>1259</v>
      </c>
      <c r="B18" s="614" t="e">
        <f>B17*'Custos de Implantação'!#REF!</f>
        <v>#REF!</v>
      </c>
      <c r="C18" s="642"/>
      <c r="D18" s="472" t="s">
        <v>894</v>
      </c>
      <c r="E18" s="478" t="s">
        <v>938</v>
      </c>
    </row>
    <row r="19" spans="1:5" s="315" customFormat="1" ht="30" x14ac:dyDescent="0.25">
      <c r="A19" s="648" t="s">
        <v>1260</v>
      </c>
      <c r="B19" s="614" t="e">
        <f>B17*'Custos de Implantação'!C60</f>
        <v>#REF!</v>
      </c>
      <c r="C19" s="642"/>
      <c r="D19" s="472" t="s">
        <v>893</v>
      </c>
      <c r="E19" s="483"/>
    </row>
    <row r="20" spans="1:5" s="315" customFormat="1" x14ac:dyDescent="0.25">
      <c r="B20" s="686"/>
    </row>
    <row r="21" spans="1:5" x14ac:dyDescent="0.25">
      <c r="A21" s="637" t="s">
        <v>23</v>
      </c>
      <c r="B21" s="638"/>
      <c r="C21" s="631"/>
      <c r="D21" s="649" t="s">
        <v>666</v>
      </c>
      <c r="E21" s="640"/>
    </row>
    <row r="22" spans="1:5" s="315" customFormat="1" ht="60" x14ac:dyDescent="0.25">
      <c r="A22" s="650" t="s">
        <v>904</v>
      </c>
      <c r="B22" s="606">
        <v>1600</v>
      </c>
      <c r="C22" s="642"/>
      <c r="D22" s="634" t="s">
        <v>896</v>
      </c>
      <c r="E22" s="558" t="s">
        <v>1280</v>
      </c>
    </row>
    <row r="23" spans="1:5" s="315" customFormat="1" x14ac:dyDescent="0.25">
      <c r="B23" s="686"/>
      <c r="C23"/>
    </row>
    <row r="24" spans="1:5" x14ac:dyDescent="0.25">
      <c r="A24" s="637" t="s">
        <v>25</v>
      </c>
      <c r="B24" s="638"/>
      <c r="C24" s="631"/>
      <c r="D24" s="649" t="s">
        <v>897</v>
      </c>
      <c r="E24" s="640"/>
    </row>
    <row r="25" spans="1:5" s="315" customFormat="1" ht="75" x14ac:dyDescent="0.25">
      <c r="A25" s="485" t="s">
        <v>854</v>
      </c>
      <c r="B25" s="688">
        <v>30</v>
      </c>
      <c r="C25" s="641" t="s">
        <v>1139</v>
      </c>
      <c r="D25" s="634" t="s">
        <v>870</v>
      </c>
      <c r="E25" s="558" t="s">
        <v>1278</v>
      </c>
    </row>
    <row r="26" spans="1:5" s="315" customFormat="1" ht="30" x14ac:dyDescent="0.25">
      <c r="A26" s="643" t="s">
        <v>1261</v>
      </c>
      <c r="B26" s="682">
        <v>1000</v>
      </c>
      <c r="C26" s="642"/>
      <c r="D26" s="472" t="s">
        <v>857</v>
      </c>
      <c r="E26" s="478" t="s">
        <v>938</v>
      </c>
    </row>
    <row r="27" spans="1:5" s="315" customFormat="1" x14ac:dyDescent="0.25">
      <c r="B27" s="686"/>
    </row>
    <row r="28" spans="1:5" ht="45" x14ac:dyDescent="0.25">
      <c r="A28" s="637" t="s">
        <v>27</v>
      </c>
      <c r="B28" s="638"/>
      <c r="C28" s="627"/>
      <c r="D28" s="639" t="s">
        <v>898</v>
      </c>
      <c r="E28" s="640"/>
    </row>
    <row r="29" spans="1:5" s="315" customFormat="1" ht="60" x14ac:dyDescent="0.25">
      <c r="A29" s="648" t="s">
        <v>899</v>
      </c>
      <c r="B29" s="651" t="s">
        <v>648</v>
      </c>
      <c r="C29" s="642"/>
      <c r="D29" s="472" t="s">
        <v>900</v>
      </c>
      <c r="E29" s="478" t="s">
        <v>934</v>
      </c>
    </row>
    <row r="30" spans="1:5" s="315" customFormat="1" ht="90" x14ac:dyDescent="0.25">
      <c r="A30" s="655" t="s">
        <v>872</v>
      </c>
      <c r="B30" s="652">
        <v>5000</v>
      </c>
      <c r="C30" s="653" t="s">
        <v>1133</v>
      </c>
      <c r="D30" s="472" t="s">
        <v>662</v>
      </c>
      <c r="E30" s="478" t="s">
        <v>934</v>
      </c>
    </row>
    <row r="31" spans="1:5" s="315" customFormat="1" x14ac:dyDescent="0.25">
      <c r="A31" s="648" t="s">
        <v>1092</v>
      </c>
      <c r="B31" s="683">
        <v>1000</v>
      </c>
      <c r="C31" s="654">
        <f>'Ambito de Implementação'!C17</f>
        <v>0</v>
      </c>
      <c r="D31" s="472" t="s">
        <v>1291</v>
      </c>
      <c r="E31" s="478"/>
    </row>
    <row r="32" spans="1:5" s="315" customFormat="1" x14ac:dyDescent="0.25">
      <c r="B32" s="686"/>
    </row>
    <row r="33" spans="1:5" ht="135" x14ac:dyDescent="0.25">
      <c r="A33" s="637" t="s">
        <v>29</v>
      </c>
      <c r="B33" s="638"/>
      <c r="C33" s="631"/>
      <c r="D33" s="639" t="s">
        <v>923</v>
      </c>
      <c r="E33" s="640"/>
    </row>
    <row r="34" spans="1:5" s="315" customFormat="1" ht="60" x14ac:dyDescent="0.25">
      <c r="A34" s="648" t="s">
        <v>1236</v>
      </c>
      <c r="B34" s="606">
        <v>8000</v>
      </c>
      <c r="C34" s="642"/>
      <c r="D34" s="472" t="s">
        <v>1323</v>
      </c>
      <c r="E34" s="478" t="s">
        <v>934</v>
      </c>
    </row>
    <row r="35" spans="1:5" s="315" customFormat="1" ht="45" x14ac:dyDescent="0.25">
      <c r="A35" s="655" t="s">
        <v>1216</v>
      </c>
      <c r="B35" s="606">
        <v>15000</v>
      </c>
      <c r="C35" s="657" t="s">
        <v>1177</v>
      </c>
      <c r="D35" s="472" t="s">
        <v>901</v>
      </c>
      <c r="E35" s="478" t="s">
        <v>934</v>
      </c>
    </row>
    <row r="36" spans="1:5" s="315" customFormat="1" ht="45" x14ac:dyDescent="0.25">
      <c r="A36" s="656" t="s">
        <v>1215</v>
      </c>
      <c r="B36" s="606">
        <v>10</v>
      </c>
      <c r="C36" s="642"/>
      <c r="D36" s="472" t="s">
        <v>1214</v>
      </c>
      <c r="E36" s="483"/>
    </row>
    <row r="37" spans="1:5" s="315" customFormat="1" x14ac:dyDescent="0.25">
      <c r="A37" s="508" t="s">
        <v>1213</v>
      </c>
      <c r="B37" s="659">
        <f>B35*B36</f>
        <v>150000</v>
      </c>
      <c r="C37" s="627"/>
      <c r="D37" s="472" t="s">
        <v>888</v>
      </c>
    </row>
    <row r="38" spans="1:5" s="315" customFormat="1" x14ac:dyDescent="0.25">
      <c r="A38" s="508"/>
      <c r="B38" s="679"/>
      <c r="C38" s="627"/>
      <c r="D38" s="472"/>
    </row>
    <row r="39" spans="1:5" s="315" customFormat="1" ht="75" x14ac:dyDescent="0.25">
      <c r="A39" s="647" t="s">
        <v>1237</v>
      </c>
      <c r="B39" s="606">
        <v>1000</v>
      </c>
      <c r="C39" s="641" t="s">
        <v>1139</v>
      </c>
      <c r="D39" s="472" t="s">
        <v>870</v>
      </c>
      <c r="E39" s="558" t="s">
        <v>1278</v>
      </c>
    </row>
    <row r="40" spans="1:5" s="315" customFormat="1" ht="60" x14ac:dyDescent="0.25">
      <c r="A40" s="648" t="s">
        <v>1238</v>
      </c>
      <c r="B40" s="606">
        <v>500</v>
      </c>
      <c r="C40" s="642"/>
      <c r="D40" s="472" t="s">
        <v>1096</v>
      </c>
      <c r="E40" s="483"/>
    </row>
    <row r="41" spans="1:5" s="315" customFormat="1" ht="60" x14ac:dyDescent="0.25">
      <c r="A41" s="647" t="s">
        <v>1095</v>
      </c>
      <c r="B41" s="527" t="e">
        <f>'Ambito de Implementação'!#REF!</f>
        <v>#REF!</v>
      </c>
      <c r="C41" s="641">
        <v>0.2</v>
      </c>
      <c r="D41" s="472" t="s">
        <v>1094</v>
      </c>
      <c r="E41" s="483"/>
    </row>
    <row r="42" spans="1:5" s="315" customFormat="1" ht="45" x14ac:dyDescent="0.25">
      <c r="A42" s="648" t="s">
        <v>1239</v>
      </c>
      <c r="B42" s="606">
        <v>1000</v>
      </c>
      <c r="C42" s="642"/>
      <c r="D42" s="472" t="s">
        <v>898</v>
      </c>
      <c r="E42" s="483"/>
    </row>
    <row r="43" spans="1:5" s="315" customFormat="1" ht="30" x14ac:dyDescent="0.25">
      <c r="A43" s="648" t="s">
        <v>1093</v>
      </c>
      <c r="B43" s="606">
        <v>0</v>
      </c>
      <c r="C43" s="642"/>
      <c r="D43" s="472"/>
    </row>
    <row r="44" spans="1:5" s="315" customFormat="1" x14ac:dyDescent="0.25">
      <c r="B44" s="686"/>
    </row>
    <row r="45" spans="1:5" ht="30" x14ac:dyDescent="0.25">
      <c r="A45" s="637" t="s">
        <v>31</v>
      </c>
      <c r="B45" s="638"/>
      <c r="C45" s="631"/>
      <c r="D45" s="639" t="s">
        <v>902</v>
      </c>
      <c r="E45" s="640"/>
    </row>
    <row r="46" spans="1:5" s="315" customFormat="1" ht="90" x14ac:dyDescent="0.25">
      <c r="A46" s="648" t="s">
        <v>1240</v>
      </c>
      <c r="B46" s="606">
        <v>10000</v>
      </c>
      <c r="C46" s="657" t="s">
        <v>1177</v>
      </c>
      <c r="D46" s="472" t="s">
        <v>916</v>
      </c>
      <c r="E46" s="478" t="s">
        <v>934</v>
      </c>
    </row>
    <row r="47" spans="1:5" s="315" customFormat="1" ht="45" x14ac:dyDescent="0.25">
      <c r="A47" s="647" t="s">
        <v>1227</v>
      </c>
      <c r="B47" s="606">
        <v>0.25</v>
      </c>
      <c r="C47" s="660">
        <v>0.25</v>
      </c>
      <c r="D47" s="472" t="s">
        <v>1228</v>
      </c>
      <c r="E47" s="478" t="s">
        <v>936</v>
      </c>
    </row>
    <row r="48" spans="1:5" s="315" customFormat="1" x14ac:dyDescent="0.25">
      <c r="A48" s="508" t="s">
        <v>1226</v>
      </c>
      <c r="B48" s="615">
        <f>B46*B47</f>
        <v>2500</v>
      </c>
      <c r="C48" s="627"/>
      <c r="D48" s="472" t="s">
        <v>888</v>
      </c>
    </row>
    <row r="49" spans="1:5" s="315" customFormat="1" x14ac:dyDescent="0.25">
      <c r="B49" s="686"/>
    </row>
    <row r="50" spans="1:5" ht="45" x14ac:dyDescent="0.25">
      <c r="A50" s="637" t="s">
        <v>33</v>
      </c>
      <c r="B50" s="638"/>
      <c r="C50" s="631"/>
      <c r="D50" s="639" t="s">
        <v>903</v>
      </c>
      <c r="E50" s="640"/>
    </row>
    <row r="51" spans="1:5" s="315" customFormat="1" ht="60" x14ac:dyDescent="0.25">
      <c r="A51" s="648" t="s">
        <v>1241</v>
      </c>
      <c r="B51" s="606">
        <v>20000</v>
      </c>
      <c r="C51" s="661" t="s">
        <v>1177</v>
      </c>
      <c r="D51" s="472" t="s">
        <v>917</v>
      </c>
      <c r="E51" s="478" t="s">
        <v>934</v>
      </c>
    </row>
    <row r="52" spans="1:5" s="315" customFormat="1" ht="45" x14ac:dyDescent="0.25">
      <c r="A52" s="647" t="s">
        <v>1229</v>
      </c>
      <c r="B52" s="616">
        <v>1</v>
      </c>
      <c r="C52" s="642"/>
      <c r="D52" s="472" t="s">
        <v>1231</v>
      </c>
      <c r="E52" s="478"/>
    </row>
    <row r="53" spans="1:5" s="315" customFormat="1" x14ac:dyDescent="0.25">
      <c r="A53" s="508" t="s">
        <v>1230</v>
      </c>
      <c r="B53" s="615">
        <f>B51*B52</f>
        <v>20000</v>
      </c>
      <c r="C53" s="627"/>
      <c r="D53" s="472" t="s">
        <v>888</v>
      </c>
    </row>
    <row r="54" spans="1:5" s="315" customFormat="1" x14ac:dyDescent="0.25">
      <c r="B54" s="686"/>
    </row>
    <row r="55" spans="1:5" ht="30" x14ac:dyDescent="0.25">
      <c r="A55" s="637" t="s">
        <v>35</v>
      </c>
      <c r="B55" s="638"/>
      <c r="C55" s="631"/>
      <c r="D55" s="649" t="s">
        <v>925</v>
      </c>
      <c r="E55" s="640"/>
    </row>
    <row r="56" spans="1:5" s="315" customFormat="1" ht="60" x14ac:dyDescent="0.25">
      <c r="A56" s="507" t="s">
        <v>873</v>
      </c>
      <c r="B56" s="606">
        <v>0</v>
      </c>
      <c r="C56" s="642"/>
      <c r="D56" s="634" t="s">
        <v>667</v>
      </c>
      <c r="E56" s="558" t="s">
        <v>1278</v>
      </c>
    </row>
    <row r="57" spans="1:5" s="315" customFormat="1" x14ac:dyDescent="0.25">
      <c r="B57" s="686"/>
    </row>
    <row r="58" spans="1:5" x14ac:dyDescent="0.25">
      <c r="A58" s="637" t="s">
        <v>0</v>
      </c>
      <c r="B58" s="638"/>
      <c r="C58" s="631"/>
      <c r="D58" s="639" t="s">
        <v>669</v>
      </c>
      <c r="E58" s="640"/>
    </row>
    <row r="59" spans="1:5" s="315" customFormat="1" ht="30" x14ac:dyDescent="0.25">
      <c r="A59" s="648" t="s">
        <v>1242</v>
      </c>
      <c r="B59" s="606">
        <v>15000</v>
      </c>
      <c r="C59" s="657" t="s">
        <v>1177</v>
      </c>
      <c r="D59" s="472" t="s">
        <v>668</v>
      </c>
      <c r="E59" s="478" t="s">
        <v>934</v>
      </c>
    </row>
    <row r="60" spans="1:5" s="315" customFormat="1" ht="45" x14ac:dyDescent="0.25">
      <c r="A60" s="647" t="s">
        <v>1243</v>
      </c>
      <c r="B60" s="616">
        <v>2.5</v>
      </c>
      <c r="C60" s="642"/>
      <c r="D60" s="472" t="s">
        <v>1231</v>
      </c>
      <c r="E60" s="478"/>
    </row>
    <row r="61" spans="1:5" s="315" customFormat="1" x14ac:dyDescent="0.25">
      <c r="A61" s="508" t="s">
        <v>1232</v>
      </c>
      <c r="B61" s="615">
        <f>B59*B60</f>
        <v>37500</v>
      </c>
      <c r="C61" s="627"/>
      <c r="D61" s="472" t="s">
        <v>888</v>
      </c>
    </row>
    <row r="62" spans="1:5" s="315" customFormat="1" x14ac:dyDescent="0.25">
      <c r="B62" s="686"/>
    </row>
    <row r="63" spans="1:5" ht="30" x14ac:dyDescent="0.25">
      <c r="A63" s="637" t="s">
        <v>38</v>
      </c>
      <c r="B63" s="638"/>
      <c r="C63" s="631"/>
      <c r="D63" s="649" t="s">
        <v>670</v>
      </c>
      <c r="E63" s="640"/>
    </row>
    <row r="64" spans="1:5" s="315" customFormat="1" ht="60" x14ac:dyDescent="0.25">
      <c r="A64" s="650" t="s">
        <v>905</v>
      </c>
      <c r="B64" s="606">
        <v>20000</v>
      </c>
      <c r="C64" s="642"/>
      <c r="D64" s="634" t="s">
        <v>671</v>
      </c>
      <c r="E64" s="558" t="s">
        <v>1278</v>
      </c>
    </row>
    <row r="65" spans="1:5" s="315" customFormat="1" x14ac:dyDescent="0.25">
      <c r="B65" s="686"/>
    </row>
    <row r="66" spans="1:5" ht="45" x14ac:dyDescent="0.25">
      <c r="A66" s="637" t="s">
        <v>40</v>
      </c>
      <c r="B66" s="638"/>
      <c r="C66" s="631"/>
      <c r="D66" s="649" t="s">
        <v>906</v>
      </c>
      <c r="E66" s="640"/>
    </row>
    <row r="67" spans="1:5" s="315" customFormat="1" ht="30" x14ac:dyDescent="0.25">
      <c r="A67" s="648" t="s">
        <v>1246</v>
      </c>
      <c r="B67" s="606">
        <v>20000</v>
      </c>
      <c r="C67" s="657" t="s">
        <v>1177</v>
      </c>
      <c r="D67" s="634" t="s">
        <v>907</v>
      </c>
      <c r="E67" s="478" t="s">
        <v>934</v>
      </c>
    </row>
    <row r="68" spans="1:5" s="315" customFormat="1" ht="45" x14ac:dyDescent="0.25">
      <c r="A68" s="647" t="s">
        <v>1245</v>
      </c>
      <c r="B68" s="616">
        <v>0.5</v>
      </c>
      <c r="C68" s="662">
        <v>0.5</v>
      </c>
      <c r="D68" s="472" t="s">
        <v>1247</v>
      </c>
      <c r="E68" s="478" t="s">
        <v>936</v>
      </c>
    </row>
    <row r="69" spans="1:5" s="315" customFormat="1" x14ac:dyDescent="0.25">
      <c r="A69" s="508" t="s">
        <v>1244</v>
      </c>
      <c r="B69" s="615">
        <f>B67*B68</f>
        <v>10000</v>
      </c>
      <c r="C69" s="495"/>
      <c r="D69" s="472" t="s">
        <v>888</v>
      </c>
    </row>
    <row r="70" spans="1:5" s="315" customFormat="1" x14ac:dyDescent="0.25">
      <c r="B70" s="686"/>
    </row>
    <row r="71" spans="1:5" x14ac:dyDescent="0.25">
      <c r="A71" s="637" t="s">
        <v>672</v>
      </c>
      <c r="B71" s="638"/>
      <c r="C71" s="631"/>
      <c r="D71" s="639" t="s">
        <v>673</v>
      </c>
      <c r="E71" s="640"/>
    </row>
    <row r="72" spans="1:5" s="315" customFormat="1" ht="60" x14ac:dyDescent="0.25">
      <c r="A72" s="648" t="s">
        <v>1251</v>
      </c>
      <c r="B72" s="606">
        <v>20000</v>
      </c>
      <c r="C72" s="657" t="s">
        <v>1177</v>
      </c>
      <c r="D72" s="472" t="s">
        <v>908</v>
      </c>
      <c r="E72" s="478" t="s">
        <v>934</v>
      </c>
    </row>
    <row r="73" spans="1:5" s="315" customFormat="1" ht="60" x14ac:dyDescent="0.25">
      <c r="A73" s="647" t="s">
        <v>1249</v>
      </c>
      <c r="B73" s="616">
        <v>0.5</v>
      </c>
      <c r="C73" s="642"/>
      <c r="D73" s="472" t="s">
        <v>1250</v>
      </c>
      <c r="E73" s="483"/>
    </row>
    <row r="74" spans="1:5" s="315" customFormat="1" x14ac:dyDescent="0.25">
      <c r="A74" s="508" t="s">
        <v>1248</v>
      </c>
      <c r="B74" s="615">
        <f>B72*B73</f>
        <v>10000</v>
      </c>
      <c r="C74" s="495"/>
      <c r="D74" s="472" t="s">
        <v>888</v>
      </c>
    </row>
    <row r="75" spans="1:5" s="315" customFormat="1" x14ac:dyDescent="0.25">
      <c r="B75" s="686"/>
    </row>
    <row r="76" spans="1:5" ht="30" x14ac:dyDescent="0.25">
      <c r="A76" s="637" t="s">
        <v>44</v>
      </c>
      <c r="B76" s="638"/>
      <c r="C76" s="631"/>
      <c r="D76" s="649" t="s">
        <v>674</v>
      </c>
      <c r="E76" s="640"/>
    </row>
    <row r="77" spans="1:5" s="315" customFormat="1" ht="30" x14ac:dyDescent="0.25">
      <c r="A77" s="648" t="s">
        <v>1253</v>
      </c>
      <c r="B77" s="606">
        <v>10000</v>
      </c>
      <c r="C77" s="661" t="s">
        <v>1177</v>
      </c>
      <c r="D77" s="634" t="s">
        <v>909</v>
      </c>
      <c r="E77" s="478" t="s">
        <v>934</v>
      </c>
    </row>
    <row r="78" spans="1:5" s="315" customFormat="1" ht="45" x14ac:dyDescent="0.25">
      <c r="A78" s="647" t="s">
        <v>1254</v>
      </c>
      <c r="B78" s="616">
        <v>0.5</v>
      </c>
      <c r="C78" s="660">
        <v>0.25</v>
      </c>
      <c r="D78" s="472" t="s">
        <v>1255</v>
      </c>
      <c r="E78" s="478" t="s">
        <v>936</v>
      </c>
    </row>
    <row r="79" spans="1:5" s="315" customFormat="1" x14ac:dyDescent="0.25">
      <c r="A79" s="508" t="s">
        <v>1252</v>
      </c>
      <c r="B79" s="615">
        <f>B77*B78</f>
        <v>5000</v>
      </c>
      <c r="C79" s="495"/>
      <c r="D79" s="472" t="s">
        <v>888</v>
      </c>
    </row>
    <row r="80" spans="1:5" s="315" customFormat="1" x14ac:dyDescent="0.25">
      <c r="B80" s="499"/>
    </row>
    <row r="81" spans="2:2" s="315" customFormat="1" x14ac:dyDescent="0.25">
      <c r="B81" s="499"/>
    </row>
  </sheetData>
  <conditionalFormatting sqref="B26 B31">
    <cfRule type="expression" dxfId="55" priority="1">
      <formula>$A$25="enter the number of sites where the DHI will be deployed"</formula>
    </cfRule>
  </conditionalFormatting>
  <dataValidations count="2">
    <dataValidation type="whole" allowBlank="1" showInputMessage="1" showErrorMessage="1" error="Entry must be a whole number. " sqref="B10:B14 B18:B19" xr:uid="{00000000-0002-0000-1200-000000000000}">
      <formula1>0</formula1>
      <formula2>10000000</formula2>
    </dataValidation>
    <dataValidation allowBlank="1" sqref="B52 B60 B68 B78 B73" xr:uid="{00000000-0002-0000-1200-000001000000}"/>
  </dataValidations>
  <hyperlinks>
    <hyperlink ref="E9" r:id="rId1" xr:uid="{00000000-0004-0000-1200-000000000000}"/>
    <hyperlink ref="E10" r:id="rId2" xr:uid="{00000000-0004-0000-1200-000001000000}"/>
    <hyperlink ref="E17" r:id="rId3" xr:uid="{00000000-0004-0000-1200-000002000000}"/>
    <hyperlink ref="E18" r:id="rId4" xr:uid="{00000000-0004-0000-1200-000003000000}"/>
    <hyperlink ref="E26" r:id="rId5" xr:uid="{00000000-0004-0000-1200-000004000000}"/>
    <hyperlink ref="E29" r:id="rId6" xr:uid="{00000000-0004-0000-1200-000005000000}"/>
    <hyperlink ref="E30" r:id="rId7" xr:uid="{00000000-0004-0000-1200-000006000000}"/>
    <hyperlink ref="E35" r:id="rId8" xr:uid="{00000000-0004-0000-1200-000007000000}"/>
    <hyperlink ref="E46" r:id="rId9" xr:uid="{00000000-0004-0000-1200-000008000000}"/>
    <hyperlink ref="E47" r:id="rId10" xr:uid="{00000000-0004-0000-1200-000009000000}"/>
    <hyperlink ref="E51" r:id="rId11" xr:uid="{00000000-0004-0000-1200-00000A000000}"/>
    <hyperlink ref="E59" r:id="rId12" xr:uid="{00000000-0004-0000-1200-00000B000000}"/>
    <hyperlink ref="E67" r:id="rId13" xr:uid="{00000000-0004-0000-1200-00000C000000}"/>
    <hyperlink ref="E68" r:id="rId14" xr:uid="{00000000-0004-0000-1200-00000D000000}"/>
    <hyperlink ref="E72" r:id="rId15" xr:uid="{00000000-0004-0000-1200-00000E000000}"/>
    <hyperlink ref="E77" r:id="rId16" xr:uid="{00000000-0004-0000-1200-00000F000000}"/>
    <hyperlink ref="E78" r:id="rId17" xr:uid="{00000000-0004-0000-1200-000010000000}"/>
    <hyperlink ref="E34" r:id="rId18" xr:uid="{00000000-0004-0000-1200-000011000000}"/>
    <hyperlink ref="C35" location="'Salary input data '!A4" display="See Salary input data tab " xr:uid="{00000000-0004-0000-1200-000012000000}"/>
    <hyperlink ref="C46" location="'Salary input data '!A4" display="See Salary input data tab " xr:uid="{00000000-0004-0000-1200-000013000000}"/>
    <hyperlink ref="C51" location="'Salary input data '!A4" display="See Salary input data tab " xr:uid="{00000000-0004-0000-1200-000014000000}"/>
    <hyperlink ref="C59" location="'Salary input data '!A4" display="See Salary input data tab " xr:uid="{00000000-0004-0000-1200-000015000000}"/>
    <hyperlink ref="C67" location="'Salary input data '!A4" display="See Salary input data tab " xr:uid="{00000000-0004-0000-1200-000016000000}"/>
    <hyperlink ref="C72" location="'Salary input data '!A4" display="See Salary input data tab " xr:uid="{00000000-0004-0000-1200-000017000000}"/>
    <hyperlink ref="C77" location="'Salary input data '!A4" display="See Salary input data tab " xr:uid="{00000000-0004-0000-1200-000018000000}"/>
  </hyperlinks>
  <pageMargins left="0.7" right="0.7" top="0.75" bottom="0.75" header="0.3" footer="0.3"/>
  <drawing r:id="rId19"/>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2000000}">
          <x14:formula1>
            <xm:f>Sheet15!$A$1:$A$3</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7">
    <tabColor rgb="FF7030A0"/>
  </sheetPr>
  <dimension ref="A1:N26"/>
  <sheetViews>
    <sheetView showGridLines="0" tabSelected="1" zoomScale="85" zoomScaleNormal="85" workbookViewId="0">
      <pane xSplit="14" ySplit="26" topLeftCell="O27" activePane="bottomRight" state="frozen"/>
      <selection activeCell="B29" sqref="B29"/>
      <selection pane="topRight" activeCell="B29" sqref="B29"/>
      <selection pane="bottomLeft" activeCell="B29" sqref="B29"/>
      <selection pane="bottomRight" activeCell="L3" sqref="L3"/>
    </sheetView>
  </sheetViews>
  <sheetFormatPr defaultColWidth="8.7109375" defaultRowHeight="15" x14ac:dyDescent="0.25"/>
  <cols>
    <col min="1" max="1" width="2.7109375" customWidth="1"/>
    <col min="2" max="2" width="4.7109375" customWidth="1"/>
    <col min="4" max="4" width="8.7109375" customWidth="1"/>
    <col min="12" max="12" width="11.28515625" customWidth="1"/>
    <col min="13" max="13" width="7.28515625" customWidth="1"/>
    <col min="14" max="14" width="2.7109375" customWidth="1"/>
  </cols>
  <sheetData>
    <row r="1" spans="1:14" x14ac:dyDescent="0.25">
      <c r="A1" s="742"/>
      <c r="B1" s="742"/>
      <c r="C1" s="742"/>
      <c r="D1" s="742"/>
      <c r="E1" s="742"/>
      <c r="F1" s="742"/>
      <c r="G1" s="742"/>
      <c r="H1" s="742"/>
      <c r="I1" s="742"/>
      <c r="J1" s="742"/>
      <c r="K1" s="742"/>
      <c r="L1" s="742"/>
    </row>
    <row r="2" spans="1:14" ht="31.5" x14ac:dyDescent="0.5">
      <c r="A2" s="742"/>
      <c r="F2" s="744"/>
      <c r="G2" s="744"/>
      <c r="H2" s="744"/>
      <c r="I2" s="744"/>
      <c r="J2" s="744"/>
      <c r="K2" s="744"/>
    </row>
    <row r="3" spans="1:14" ht="31.5" x14ac:dyDescent="0.5">
      <c r="A3" s="742"/>
      <c r="C3" s="743" t="s">
        <v>1383</v>
      </c>
      <c r="F3" s="744"/>
      <c r="G3" s="744"/>
      <c r="H3" s="744"/>
      <c r="I3" s="744"/>
      <c r="J3" s="744"/>
      <c r="K3" s="744"/>
      <c r="N3" s="742"/>
    </row>
    <row r="4" spans="1:14" x14ac:dyDescent="0.25">
      <c r="A4" s="742"/>
      <c r="N4" s="742"/>
    </row>
    <row r="5" spans="1:14" ht="18.75" x14ac:dyDescent="0.3">
      <c r="A5" s="742"/>
      <c r="D5" s="745"/>
      <c r="N5" s="742"/>
    </row>
    <row r="6" spans="1:14" x14ac:dyDescent="0.25">
      <c r="A6" s="742"/>
      <c r="C6" s="746" t="s">
        <v>1389</v>
      </c>
      <c r="N6" s="742"/>
    </row>
    <row r="7" spans="1:14" ht="14.65" customHeight="1" x14ac:dyDescent="0.25">
      <c r="A7" s="742"/>
      <c r="C7" s="949" t="s">
        <v>1379</v>
      </c>
      <c r="D7" s="705" t="s">
        <v>1384</v>
      </c>
      <c r="E7" s="704"/>
      <c r="F7" s="704"/>
      <c r="G7" s="703"/>
      <c r="N7" s="742"/>
    </row>
    <row r="8" spans="1:14" x14ac:dyDescent="0.25">
      <c r="A8" s="742"/>
      <c r="C8" s="949"/>
      <c r="D8" s="948" t="s">
        <v>1701</v>
      </c>
      <c r="E8" s="948"/>
      <c r="F8" s="948"/>
      <c r="G8" s="703"/>
      <c r="N8" s="742"/>
    </row>
    <row r="9" spans="1:14" x14ac:dyDescent="0.25">
      <c r="A9" s="742"/>
      <c r="C9" s="949"/>
      <c r="D9" s="948" t="s">
        <v>1385</v>
      </c>
      <c r="E9" s="948"/>
      <c r="F9" s="948"/>
      <c r="G9" s="703"/>
      <c r="N9" s="742"/>
    </row>
    <row r="10" spans="1:14" x14ac:dyDescent="0.25">
      <c r="A10" s="742"/>
      <c r="C10" s="949"/>
      <c r="D10" s="950" t="s">
        <v>1386</v>
      </c>
      <c r="E10" s="950"/>
      <c r="F10" s="950"/>
      <c r="G10" s="703"/>
      <c r="N10" s="742"/>
    </row>
    <row r="11" spans="1:14" x14ac:dyDescent="0.25">
      <c r="A11" s="742"/>
      <c r="C11" s="949"/>
      <c r="D11" s="948" t="s">
        <v>1698</v>
      </c>
      <c r="E11" s="948"/>
      <c r="F11" s="948"/>
      <c r="G11" s="703"/>
      <c r="N11" s="742"/>
    </row>
    <row r="12" spans="1:14" x14ac:dyDescent="0.25">
      <c r="A12" s="742"/>
      <c r="C12" s="951" t="s">
        <v>1378</v>
      </c>
      <c r="D12" s="948" t="s">
        <v>1387</v>
      </c>
      <c r="E12" s="948"/>
      <c r="F12" s="704"/>
      <c r="G12" s="703"/>
      <c r="N12" s="742"/>
    </row>
    <row r="13" spans="1:14" x14ac:dyDescent="0.25">
      <c r="A13" s="742"/>
      <c r="C13" s="951"/>
      <c r="D13" s="948" t="s">
        <v>627</v>
      </c>
      <c r="E13" s="948"/>
      <c r="F13" s="948"/>
      <c r="G13" s="703"/>
      <c r="N13" s="742"/>
    </row>
    <row r="14" spans="1:14" x14ac:dyDescent="0.25">
      <c r="A14" s="742"/>
      <c r="C14" s="951"/>
      <c r="D14" s="948" t="s">
        <v>1388</v>
      </c>
      <c r="E14" s="948"/>
      <c r="F14" s="948"/>
      <c r="G14" s="948"/>
      <c r="N14" s="742"/>
    </row>
    <row r="15" spans="1:14" x14ac:dyDescent="0.25">
      <c r="A15" s="742"/>
      <c r="N15" s="742"/>
    </row>
    <row r="16" spans="1:14" x14ac:dyDescent="0.25">
      <c r="A16" s="742"/>
      <c r="N16" s="742"/>
    </row>
    <row r="17" spans="1:14" x14ac:dyDescent="0.25">
      <c r="A17" s="742"/>
      <c r="C17" s="747" t="s">
        <v>1390</v>
      </c>
      <c r="N17" s="742"/>
    </row>
    <row r="18" spans="1:14" x14ac:dyDescent="0.25">
      <c r="A18" s="742"/>
      <c r="C18" s="748"/>
      <c r="D18" s="702" t="s">
        <v>1381</v>
      </c>
      <c r="N18" s="742"/>
    </row>
    <row r="19" spans="1:14" x14ac:dyDescent="0.25">
      <c r="A19" s="742"/>
      <c r="N19" s="742"/>
    </row>
    <row r="20" spans="1:14" x14ac:dyDescent="0.25">
      <c r="A20" s="742"/>
      <c r="N20" s="742"/>
    </row>
    <row r="21" spans="1:14" x14ac:dyDescent="0.25">
      <c r="A21" s="742"/>
      <c r="C21" s="747" t="s">
        <v>1391</v>
      </c>
      <c r="D21" s="749">
        <v>1</v>
      </c>
      <c r="N21" s="742"/>
    </row>
    <row r="22" spans="1:14" x14ac:dyDescent="0.25">
      <c r="A22" s="742"/>
      <c r="C22" s="747" t="s">
        <v>1392</v>
      </c>
      <c r="D22" t="s">
        <v>1667</v>
      </c>
      <c r="N22" s="742"/>
    </row>
    <row r="23" spans="1:14" x14ac:dyDescent="0.25">
      <c r="A23" s="742"/>
      <c r="N23" s="742"/>
    </row>
    <row r="24" spans="1:14" x14ac:dyDescent="0.25">
      <c r="A24" s="742"/>
      <c r="N24" s="742"/>
    </row>
    <row r="25" spans="1:14" x14ac:dyDescent="0.25">
      <c r="A25" s="742"/>
      <c r="N25" s="742"/>
    </row>
    <row r="26" spans="1:14" x14ac:dyDescent="0.25">
      <c r="A26" s="742"/>
      <c r="B26" s="742"/>
      <c r="C26" s="742"/>
      <c r="D26" s="742"/>
      <c r="E26" s="742"/>
      <c r="F26" s="742"/>
      <c r="G26" s="742"/>
      <c r="H26" s="742"/>
      <c r="I26" s="742"/>
      <c r="J26" s="742"/>
      <c r="K26" s="742"/>
      <c r="L26" s="742"/>
      <c r="M26" s="742"/>
      <c r="N26" s="742"/>
    </row>
  </sheetData>
  <sheetProtection formatRows="0" insertHyperlinks="0"/>
  <mergeCells count="9">
    <mergeCell ref="D12:E12"/>
    <mergeCell ref="D13:F13"/>
    <mergeCell ref="D14:G14"/>
    <mergeCell ref="C7:C11"/>
    <mergeCell ref="D8:F8"/>
    <mergeCell ref="D9:F9"/>
    <mergeCell ref="D10:F10"/>
    <mergeCell ref="D11:F11"/>
    <mergeCell ref="C12:C14"/>
  </mergeCells>
  <hyperlinks>
    <hyperlink ref="D9:E9" location="'Tech Roles'!A1" display="Technical Roles" xr:uid="{00000000-0004-0000-0100-000000000000}"/>
    <hyperlink ref="D10:E10" location="'Tech Skills'!A1" display="Technical Skills" xr:uid="{00000000-0004-0000-0100-000001000000}"/>
    <hyperlink ref="D18" r:id="rId1" xr:uid="{00000000-0004-0000-0100-000002000000}"/>
    <hyperlink ref="D7" location="'Guia do Utilizador'!A1" tooltip="User Guide" display="Guia do Utilizador" xr:uid="{00000000-0004-0000-0100-000003000000}"/>
    <hyperlink ref="D8" location="'Input - Scope of Implementation'!A1" display="Scope of Implementation" xr:uid="{00000000-0004-0000-0100-000004000000}"/>
    <hyperlink ref="D9" location="'Input - Development Costs'!A1" display="Development Costs" xr:uid="{00000000-0004-0000-0100-000005000000}"/>
    <hyperlink ref="D10" location="'Input - Deployment Costs'!A1" display="Deployment Costs" xr:uid="{00000000-0004-0000-0100-000006000000}"/>
    <hyperlink ref="D11" location="'Input - Operations Costs'!A1" display="Operations Costs" xr:uid="{00000000-0004-0000-0100-000007000000}"/>
    <hyperlink ref="D12" location="'Output - Cost Summary'!A1" display="Cost Summary" xr:uid="{00000000-0004-0000-0100-000008000000}"/>
    <hyperlink ref="D13" location="'Guidance - Benchmarking'!A1" display="Benchmarking (Guidance)" xr:uid="{00000000-0004-0000-0100-000009000000}"/>
    <hyperlink ref="D14" location="'Budget Commitments and Gaps'!A1" display="Budget Commitment and Gaps" xr:uid="{00000000-0004-0000-0100-00000A000000}"/>
    <hyperlink ref="D8:F8" location="'Ambito de Implementação'!A1" tooltip="Scope of Implementation" display="Âmbito da Implementação " xr:uid="{00000000-0004-0000-0100-00000B000000}"/>
    <hyperlink ref="D9:F9" location="'Custos de Desenvolvimento'!A1" tooltip="Development Costs" display="Custos de Desenvolvimento " xr:uid="{00000000-0004-0000-0100-00000C000000}"/>
    <hyperlink ref="D10:F10" location="'Custos de Implantação'!A1" tooltip="Deployment Costs" display="Custos de Implantação " xr:uid="{00000000-0004-0000-0100-00000D000000}"/>
    <hyperlink ref="D11:F11" location="'Custos de Operação'!A1" tooltip="Operations Costs" display="Custos de Operação" xr:uid="{00000000-0004-0000-0100-00000E000000}"/>
    <hyperlink ref="D12:E12" location="'Resumo de Custos'!A1" tooltip="Cost Summary" display="Resumo de Custos" xr:uid="{00000000-0004-0000-0100-00000F000000}"/>
    <hyperlink ref="D13:F13" location="Benchmarking!A1" tooltip="Benchmarking" display="Benchmarking" xr:uid="{00000000-0004-0000-0100-000010000000}"/>
    <hyperlink ref="D14:G14" location="'Compromissos Orçamentais e Lacu'!A1" tooltip="Budget Commitment and Gaps" display="Compromisso Orçamental e Lacunas" xr:uid="{00000000-0004-0000-0100-000011000000}"/>
  </hyperlinks>
  <pageMargins left="0.7" right="0.7" top="0.75" bottom="0.75" header="0.3" footer="0.3"/>
  <pageSetup orientation="portrait" horizontalDpi="300" verticalDpi="300"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FF0000"/>
  </sheetPr>
  <dimension ref="A1:E28"/>
  <sheetViews>
    <sheetView zoomScaleNormal="100" workbookViewId="0">
      <pane ySplit="6" topLeftCell="A7" activePane="bottomLeft" state="frozen"/>
      <selection pane="bottomLeft" activeCell="B14" sqref="B14"/>
    </sheetView>
  </sheetViews>
  <sheetFormatPr defaultColWidth="8.7109375" defaultRowHeight="15" x14ac:dyDescent="0.25"/>
  <cols>
    <col min="1" max="1" width="68.28515625" style="315" customWidth="1"/>
    <col min="2" max="2" width="27.28515625" style="499" customWidth="1"/>
    <col min="3" max="3" width="16.28515625" style="315" customWidth="1"/>
    <col min="4" max="4" width="80" style="315" customWidth="1"/>
    <col min="5" max="5" width="42.7109375" style="315" customWidth="1"/>
    <col min="6" max="6" width="42.42578125" style="315" customWidth="1"/>
    <col min="7" max="7" width="8.7109375" style="315"/>
    <col min="8" max="8" width="8.7109375" style="315" customWidth="1"/>
    <col min="9" max="16384" width="8.7109375" style="315"/>
  </cols>
  <sheetData>
    <row r="1" spans="1:5" ht="23.25" x14ac:dyDescent="0.35">
      <c r="A1" s="481" t="s">
        <v>652</v>
      </c>
    </row>
    <row r="2" spans="1:5" ht="90" hidden="1" x14ac:dyDescent="0.25">
      <c r="A2" s="633" t="s">
        <v>963</v>
      </c>
      <c r="B2" s="633"/>
      <c r="C2" s="633"/>
      <c r="D2" s="633"/>
      <c r="E2" s="633"/>
    </row>
    <row r="3" spans="1:5" x14ac:dyDescent="0.25">
      <c r="A3" s="633"/>
      <c r="B3" s="633"/>
      <c r="C3" s="633"/>
      <c r="D3" s="633"/>
      <c r="E3" s="633"/>
    </row>
    <row r="4" spans="1:5" x14ac:dyDescent="0.25">
      <c r="A4" s="633"/>
      <c r="B4" s="633"/>
      <c r="C4" s="633"/>
      <c r="D4" s="633"/>
      <c r="E4" s="633"/>
    </row>
    <row r="5" spans="1:5" x14ac:dyDescent="0.25">
      <c r="A5" s="633"/>
      <c r="B5" s="633"/>
      <c r="C5" s="633"/>
      <c r="D5" s="633"/>
      <c r="E5" s="633"/>
    </row>
    <row r="6" spans="1:5" x14ac:dyDescent="0.25">
      <c r="A6" s="604"/>
      <c r="B6" s="617" t="s">
        <v>964</v>
      </c>
      <c r="C6" s="609" t="s">
        <v>965</v>
      </c>
      <c r="D6" s="609" t="s">
        <v>966</v>
      </c>
      <c r="E6" s="608" t="s">
        <v>935</v>
      </c>
    </row>
    <row r="7" spans="1:5" ht="21" x14ac:dyDescent="0.35">
      <c r="A7" s="607" t="s">
        <v>630</v>
      </c>
      <c r="B7" s="607"/>
      <c r="C7" s="607"/>
      <c r="D7" s="607"/>
      <c r="E7" s="607"/>
    </row>
    <row r="8" spans="1:5" s="498" customFormat="1" x14ac:dyDescent="0.25"/>
    <row r="9" spans="1:5" ht="30" x14ac:dyDescent="0.25">
      <c r="A9" s="435" t="s">
        <v>828</v>
      </c>
      <c r="B9" s="522" t="s">
        <v>57</v>
      </c>
      <c r="C9" s="658"/>
      <c r="D9" s="472" t="s">
        <v>827</v>
      </c>
      <c r="E9" s="478" t="s">
        <v>931</v>
      </c>
    </row>
    <row r="10" spans="1:5" ht="45" x14ac:dyDescent="0.25">
      <c r="A10" s="435" t="s">
        <v>967</v>
      </c>
      <c r="B10" s="630">
        <v>1</v>
      </c>
      <c r="C10" s="642"/>
      <c r="D10" s="471" t="s">
        <v>643</v>
      </c>
      <c r="E10" s="473" t="s">
        <v>932</v>
      </c>
    </row>
    <row r="11" spans="1:5" x14ac:dyDescent="0.25">
      <c r="A11" s="435"/>
      <c r="B11" s="487"/>
      <c r="C11" s="628"/>
      <c r="D11" s="605"/>
      <c r="E11" s="473"/>
    </row>
    <row r="12" spans="1:5" ht="105" customHeight="1" x14ac:dyDescent="0.25">
      <c r="A12" s="476" t="s">
        <v>653</v>
      </c>
      <c r="B12" s="523">
        <v>0.03</v>
      </c>
      <c r="C12" s="641">
        <v>0.03</v>
      </c>
      <c r="D12" s="472" t="s">
        <v>629</v>
      </c>
      <c r="E12" s="478" t="s">
        <v>933</v>
      </c>
    </row>
    <row r="13" spans="1:5" x14ac:dyDescent="0.25">
      <c r="A13" s="476"/>
      <c r="B13" s="488"/>
      <c r="C13" s="359"/>
      <c r="D13" s="602"/>
      <c r="E13" s="478"/>
    </row>
    <row r="14" spans="1:5" ht="75" x14ac:dyDescent="0.25">
      <c r="A14" s="482" t="s">
        <v>654</v>
      </c>
      <c r="B14" s="523">
        <v>0.2</v>
      </c>
      <c r="C14" s="641">
        <v>0.2</v>
      </c>
      <c r="D14" s="472" t="s">
        <v>876</v>
      </c>
      <c r="E14" s="478" t="s">
        <v>934</v>
      </c>
    </row>
    <row r="15" spans="1:5" x14ac:dyDescent="0.25">
      <c r="A15" s="482"/>
      <c r="B15" s="488"/>
      <c r="C15" s="359"/>
      <c r="D15" s="602"/>
      <c r="E15" s="483"/>
    </row>
    <row r="16" spans="1:5" ht="60" x14ac:dyDescent="0.25">
      <c r="A16" s="435" t="s">
        <v>1179</v>
      </c>
      <c r="B16" s="522" t="s">
        <v>927</v>
      </c>
      <c r="C16" s="642"/>
      <c r="D16" s="629" t="s">
        <v>1281</v>
      </c>
      <c r="E16" s="478" t="s">
        <v>934</v>
      </c>
    </row>
    <row r="17" spans="1:5" x14ac:dyDescent="0.25">
      <c r="A17" s="435"/>
      <c r="C17"/>
    </row>
    <row r="18" spans="1:5" x14ac:dyDescent="0.25">
      <c r="A18" s="435" t="str">
        <f>IF(B16="hosting in-house on premise","Are server hosting costs shared or covered by other digital health system implementations or programs? (Enter 'Yes' or 'No')",IF(B16="hosting offsite at data center","Are server hosting costs shared or covered by other digital health system implementations or programs? (Enter 'Yes' or 'No')"," "))</f>
        <v xml:space="preserve"> </v>
      </c>
      <c r="B18" s="499" t="s">
        <v>65</v>
      </c>
      <c r="C18" s="513"/>
      <c r="D18" s="629" t="str">
        <f>IF(B16="hosting through a third-party cloud service (local or international)", " ", "If self-hosting, consider the following costs: 1) Cost of the server, 2) Full-time dev ops engineer at 0.5 FTE/server, 3) Privacy auditing infrastructure, 4)Active security and intrusion detection, 5) High-speed internet, 6) Installation.")</f>
        <v xml:space="preserve"> </v>
      </c>
    </row>
    <row r="19" spans="1:5" x14ac:dyDescent="0.25">
      <c r="A19" s="435"/>
      <c r="C19"/>
    </row>
    <row r="20" spans="1:5" ht="30" x14ac:dyDescent="0.25">
      <c r="A20" s="482" t="s">
        <v>651</v>
      </c>
      <c r="B20" s="522" t="s">
        <v>641</v>
      </c>
      <c r="C20" s="642"/>
    </row>
    <row r="21" spans="1:5" x14ac:dyDescent="0.25">
      <c r="A21" s="482"/>
      <c r="B21" s="686"/>
      <c r="C21"/>
    </row>
    <row r="22" spans="1:5" ht="30" x14ac:dyDescent="0.25">
      <c r="A22" s="482" t="str">
        <f>IF(B20="central national or subnational government","Is the implementation of the solution planned for scaling by end user (number of facilities, healthcare workers, or clients)? (Enter 'Yes' or 'No')","")</f>
        <v>Is the implementation of the solution planned for scaling by end user (number of facilities, healthcare workers, or clients)? (Enter 'Yes' or 'No')</v>
      </c>
      <c r="B22" s="499" t="s">
        <v>65</v>
      </c>
      <c r="C22" s="680"/>
      <c r="D22" s="474"/>
    </row>
    <row r="23" spans="1:5" x14ac:dyDescent="0.25">
      <c r="B23" s="315"/>
      <c r="C23"/>
    </row>
    <row r="24" spans="1:5" x14ac:dyDescent="0.25">
      <c r="A24" s="315" t="str">
        <f>IF(B22="no"," ", "Enter the number of sites where the DHI will be deployed")</f>
        <v>Enter the number of sites where the DHI will be deployed</v>
      </c>
      <c r="B24" s="681">
        <v>2000</v>
      </c>
      <c r="C24" s="513"/>
    </row>
    <row r="25" spans="1:5" x14ac:dyDescent="0.25">
      <c r="A25" s="315" t="s">
        <v>1351</v>
      </c>
    </row>
    <row r="26" spans="1:5" x14ac:dyDescent="0.25">
      <c r="A26" s="315" t="s">
        <v>1352</v>
      </c>
      <c r="E26" s="483"/>
    </row>
    <row r="28" spans="1:5" x14ac:dyDescent="0.25">
      <c r="C28" s="315" t="s">
        <v>1348</v>
      </c>
    </row>
  </sheetData>
  <sheetProtection formatCells="0" formatColumns="0" formatRows="0"/>
  <scenarios current="0" show="0">
    <scenario name="scale" locked="1" count="1" user="Abdul Basith Shaukath" comment="Created by Abdul Basith Shaukath on 3/17/2022">
      <inputCells r="B24" val="2000" numFmtId="164"/>
    </scenario>
  </scenarios>
  <conditionalFormatting sqref="B18">
    <cfRule type="expression" dxfId="54" priority="1">
      <formula>$B$16="Hosting through a third-party cloud service (local or international)"</formula>
    </cfRule>
    <cfRule type="expression" dxfId="53" priority="5">
      <formula>$A$18="Are server hosting costs shared or covered by other digital health system implementations or programs? (Enter 'Yes' or 'No')"</formula>
    </cfRule>
  </conditionalFormatting>
  <conditionalFormatting sqref="B22">
    <cfRule type="expression" dxfId="52" priority="3">
      <formula>$B$20="central national or subnational government"</formula>
    </cfRule>
  </conditionalFormatting>
  <conditionalFormatting sqref="B24">
    <cfRule type="expression" dxfId="51" priority="2">
      <formula>$B$22="No"</formula>
    </cfRule>
  </conditionalFormatting>
  <conditionalFormatting sqref="D18">
    <cfRule type="expression" dxfId="50" priority="4">
      <formula>$B$16=""</formula>
    </cfRule>
  </conditionalFormatting>
  <hyperlinks>
    <hyperlink ref="E10" r:id="rId1" display="Suggested Source: OANDA.com" xr:uid="{00000000-0004-0000-1300-000000000000}"/>
    <hyperlink ref="E12" r:id="rId2" display="Suggested Source: Haacker, Hallett, and Atun (2020)" xr:uid="{00000000-0004-0000-1300-000001000000}"/>
    <hyperlink ref="E9" r:id="rId3" display="Suggested Source: Digital Square Digital Health Market Maturity" xr:uid="{00000000-0004-0000-1300-000002000000}"/>
    <hyperlink ref="E16" r:id="rId4" xr:uid="{00000000-0004-0000-1300-000003000000}"/>
    <hyperlink ref="E14" r:id="rId5" xr:uid="{00000000-0004-0000-1300-000004000000}"/>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300-000000000000}">
          <x14:formula1>
            <xm:f>INDEX(Sheet13!$B$9:$D$10,,MATCH($B$16,Sheet13!$B$8:$D$8,0))</xm:f>
          </x14:formula1>
          <xm:sqref>B18</xm:sqref>
        </x14:dataValidation>
        <x14:dataValidation type="list" allowBlank="1" showInputMessage="1" showErrorMessage="1" error="You can only enter Yes or No in this cell." xr:uid="{00000000-0002-0000-1300-000001000000}">
          <x14:formula1>
            <xm:f>Sheet2!$A$1:$A$2</xm:f>
          </x14:formula1>
          <xm:sqref>B22:B23</xm:sqref>
        </x14:dataValidation>
        <x14:dataValidation type="list" allowBlank="1" showInputMessage="1" showErrorMessage="1" xr:uid="{00000000-0002-0000-1300-000002000000}">
          <x14:formula1>
            <xm:f>Countries!$A$3:$A$159</xm:f>
          </x14:formula1>
          <xm:sqref>B9</xm:sqref>
        </x14:dataValidation>
        <x14:dataValidation type="list" allowBlank="1" showInputMessage="1" showErrorMessage="1" xr:uid="{00000000-0002-0000-1300-000003000000}">
          <x14:formula1>
            <xm:f>Sheet14!$A$1:$A$4</xm:f>
          </x14:formula1>
          <xm:sqref>B20</xm:sqref>
        </x14:dataValidation>
        <x14:dataValidation type="list" allowBlank="1" showInputMessage="1" showErrorMessage="1" xr:uid="{00000000-0002-0000-1300-000004000000}">
          <x14:formula1>
            <xm:f>Sheet13!$D$3:$D$5</xm:f>
          </x14:formula1>
          <xm:sqref>B16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FF0000"/>
  </sheetPr>
  <dimension ref="A1:F31"/>
  <sheetViews>
    <sheetView showGridLines="0" zoomScaleNormal="100" workbookViewId="0">
      <pane ySplit="5" topLeftCell="A9" activePane="bottomLeft" state="frozen"/>
      <selection pane="bottomLeft"/>
    </sheetView>
  </sheetViews>
  <sheetFormatPr defaultColWidth="10.7109375" defaultRowHeight="15" x14ac:dyDescent="0.25"/>
  <cols>
    <col min="1" max="1" width="68.28515625" customWidth="1"/>
    <col min="2" max="3" width="20" customWidth="1"/>
    <col min="4" max="4" width="80" customWidth="1"/>
    <col min="5" max="5" width="42.7109375" customWidth="1"/>
  </cols>
  <sheetData>
    <row r="1" spans="1:6" s="315" customFormat="1" ht="23.25" x14ac:dyDescent="0.35">
      <c r="A1" s="481" t="s">
        <v>652</v>
      </c>
      <c r="B1" s="499"/>
    </row>
    <row r="2" spans="1:6" s="315" customFormat="1" x14ac:dyDescent="0.25">
      <c r="A2" s="633"/>
      <c r="B2" s="633"/>
      <c r="C2" s="633"/>
      <c r="D2" s="633"/>
      <c r="E2" s="633"/>
    </row>
    <row r="3" spans="1:6" s="315" customFormat="1" x14ac:dyDescent="0.25">
      <c r="A3" s="633"/>
      <c r="B3" s="633"/>
      <c r="C3" s="633"/>
      <c r="D3" s="633"/>
      <c r="E3" s="633"/>
    </row>
    <row r="4" spans="1:6" s="315" customFormat="1" x14ac:dyDescent="0.25">
      <c r="A4" s="633"/>
      <c r="B4" s="633"/>
      <c r="C4" s="633"/>
      <c r="D4" s="633"/>
      <c r="E4" s="633"/>
    </row>
    <row r="5" spans="1:6" x14ac:dyDescent="0.25">
      <c r="B5" s="617" t="s">
        <v>964</v>
      </c>
      <c r="C5" s="609" t="s">
        <v>965</v>
      </c>
      <c r="D5" s="609" t="s">
        <v>966</v>
      </c>
      <c r="E5" s="608" t="s">
        <v>935</v>
      </c>
    </row>
    <row r="6" spans="1:6" s="315" customFormat="1" ht="21" x14ac:dyDescent="0.35">
      <c r="A6" s="607" t="s">
        <v>642</v>
      </c>
      <c r="B6" s="500"/>
      <c r="C6" s="489"/>
      <c r="D6" s="489"/>
      <c r="E6" s="490"/>
    </row>
    <row r="7" spans="1:6" s="315" customFormat="1" x14ac:dyDescent="0.25"/>
    <row r="8" spans="1:6" s="315" customFormat="1" ht="105" x14ac:dyDescent="0.25">
      <c r="A8" s="435" t="s">
        <v>1349</v>
      </c>
      <c r="B8" s="524" t="s">
        <v>65</v>
      </c>
      <c r="C8" s="628"/>
      <c r="D8" s="472" t="s">
        <v>1256</v>
      </c>
      <c r="E8" s="478" t="s">
        <v>934</v>
      </c>
    </row>
    <row r="9" spans="1:6" s="315" customFormat="1" ht="22.15" customHeight="1" x14ac:dyDescent="0.35">
      <c r="A9" s="687" t="str">
        <f>IF(B8="No",HYPERLINK("#'Input - Deployment Costs'!C10","Go to Input - Deployment Costs"),"")</f>
        <v/>
      </c>
      <c r="B9" s="685"/>
      <c r="C9" s="684"/>
      <c r="D9" s="472"/>
      <c r="E9" s="477"/>
    </row>
    <row r="10" spans="1:6" ht="45" x14ac:dyDescent="0.25">
      <c r="A10" s="293" t="s">
        <v>0</v>
      </c>
      <c r="B10" s="638"/>
      <c r="C10" s="638"/>
      <c r="D10" s="663" t="s">
        <v>675</v>
      </c>
      <c r="E10" s="664"/>
    </row>
    <row r="11" spans="1:6" s="315" customFormat="1" ht="90" x14ac:dyDescent="0.25">
      <c r="A11" s="648" t="s">
        <v>1189</v>
      </c>
      <c r="B11" s="606">
        <v>10000</v>
      </c>
      <c r="C11" s="657" t="s">
        <v>1177</v>
      </c>
      <c r="D11" s="472" t="s">
        <v>1191</v>
      </c>
      <c r="E11" s="558" t="s">
        <v>1277</v>
      </c>
    </row>
    <row r="12" spans="1:6" s="315" customFormat="1" ht="60" x14ac:dyDescent="0.25">
      <c r="A12" s="648" t="s">
        <v>1192</v>
      </c>
      <c r="B12" s="606">
        <v>3</v>
      </c>
      <c r="C12" s="678" t="s">
        <v>1201</v>
      </c>
      <c r="D12" s="472" t="s">
        <v>1198</v>
      </c>
      <c r="E12" s="558" t="s">
        <v>1278</v>
      </c>
      <c r="F12" s="558"/>
    </row>
    <row r="13" spans="1:6" s="315" customFormat="1" x14ac:dyDescent="0.25">
      <c r="A13" s="508" t="s">
        <v>1193</v>
      </c>
      <c r="B13" s="610">
        <f>B11*B12</f>
        <v>30000</v>
      </c>
      <c r="C13" s="529"/>
      <c r="D13" s="472" t="s">
        <v>888</v>
      </c>
      <c r="E13" s="473"/>
    </row>
    <row r="14" spans="1:6" s="315" customFormat="1" x14ac:dyDescent="0.25">
      <c r="A14" s="484"/>
      <c r="B14" s="611"/>
      <c r="C14" s="627"/>
      <c r="D14" s="602"/>
      <c r="E14" s="483"/>
    </row>
    <row r="15" spans="1:6" s="315" customFormat="1" ht="75" x14ac:dyDescent="0.25">
      <c r="A15" s="648" t="s">
        <v>853</v>
      </c>
      <c r="B15" s="606">
        <v>2000</v>
      </c>
      <c r="C15" s="657" t="s">
        <v>1177</v>
      </c>
      <c r="D15" s="472" t="s">
        <v>877</v>
      </c>
      <c r="E15" s="558" t="s">
        <v>1278</v>
      </c>
    </row>
    <row r="16" spans="1:6" s="315" customFormat="1" ht="150" x14ac:dyDescent="0.25">
      <c r="A16" s="648" t="s">
        <v>852</v>
      </c>
      <c r="B16" s="606">
        <v>60000</v>
      </c>
      <c r="C16" s="653" t="s">
        <v>1133</v>
      </c>
      <c r="D16" s="472" t="s">
        <v>875</v>
      </c>
      <c r="E16" s="558" t="s">
        <v>1278</v>
      </c>
    </row>
    <row r="17" spans="1:5" s="315" customFormat="1" ht="30" x14ac:dyDescent="0.25">
      <c r="A17" s="648" t="s">
        <v>1091</v>
      </c>
      <c r="B17" s="606">
        <v>10000</v>
      </c>
      <c r="C17" s="642"/>
      <c r="D17" s="472" t="s">
        <v>1320</v>
      </c>
      <c r="E17" s="483"/>
    </row>
    <row r="18" spans="1:5" s="315" customFormat="1" x14ac:dyDescent="0.25">
      <c r="A18" s="484"/>
      <c r="B18" s="501"/>
      <c r="C18" s="627"/>
      <c r="D18" s="602"/>
      <c r="E18" s="483"/>
    </row>
    <row r="19" spans="1:5" x14ac:dyDescent="0.25">
      <c r="A19" s="293" t="s">
        <v>661</v>
      </c>
      <c r="B19" s="638"/>
      <c r="C19" s="631"/>
      <c r="D19" s="663"/>
      <c r="E19" s="664"/>
    </row>
    <row r="20" spans="1:5" s="315" customFormat="1" x14ac:dyDescent="0.25">
      <c r="C20" s="468"/>
    </row>
    <row r="21" spans="1:5" s="315" customFormat="1" ht="90" x14ac:dyDescent="0.25">
      <c r="A21" s="648" t="s">
        <v>1206</v>
      </c>
      <c r="B21" s="606">
        <v>30000</v>
      </c>
      <c r="C21" s="657" t="s">
        <v>1177</v>
      </c>
      <c r="D21" s="472" t="s">
        <v>1194</v>
      </c>
      <c r="E21" s="558" t="s">
        <v>1277</v>
      </c>
    </row>
    <row r="22" spans="1:5" s="315" customFormat="1" ht="60" x14ac:dyDescent="0.25">
      <c r="A22" s="648" t="s">
        <v>1195</v>
      </c>
      <c r="B22" s="606">
        <v>1</v>
      </c>
      <c r="C22" s="677" t="s">
        <v>1202</v>
      </c>
      <c r="D22" s="472" t="s">
        <v>1199</v>
      </c>
      <c r="E22" s="558" t="s">
        <v>1278</v>
      </c>
    </row>
    <row r="23" spans="1:5" s="315" customFormat="1" ht="30" x14ac:dyDescent="0.25">
      <c r="A23" s="508" t="s">
        <v>1196</v>
      </c>
      <c r="B23" s="610">
        <f>B21*B22</f>
        <v>30000</v>
      </c>
      <c r="C23" s="529"/>
      <c r="D23" s="472" t="s">
        <v>888</v>
      </c>
      <c r="E23" s="473"/>
    </row>
    <row r="24" spans="1:5" s="315" customFormat="1" x14ac:dyDescent="0.25">
      <c r="A24" s="435"/>
      <c r="B24" s="612"/>
      <c r="C24" s="627"/>
      <c r="D24" s="472"/>
      <c r="E24" s="483"/>
    </row>
    <row r="25" spans="1:5" s="315" customFormat="1" ht="30" x14ac:dyDescent="0.25">
      <c r="A25" s="648" t="s">
        <v>882</v>
      </c>
      <c r="B25" s="606">
        <v>5000</v>
      </c>
      <c r="C25" s="642"/>
      <c r="D25" s="472" t="s">
        <v>1197</v>
      </c>
      <c r="E25" s="496" t="s">
        <v>934</v>
      </c>
    </row>
    <row r="26" spans="1:5" s="315" customFormat="1" x14ac:dyDescent="0.25">
      <c r="A26" s="435"/>
      <c r="B26" s="501"/>
      <c r="C26" s="627"/>
      <c r="D26" s="602"/>
      <c r="E26" s="483"/>
    </row>
    <row r="27" spans="1:5" x14ac:dyDescent="0.25">
      <c r="A27" s="293" t="s">
        <v>3</v>
      </c>
      <c r="B27" s="638"/>
      <c r="C27" s="631"/>
      <c r="D27" s="663"/>
      <c r="E27" s="664"/>
    </row>
    <row r="28" spans="1:5" s="315" customFormat="1" x14ac:dyDescent="0.25">
      <c r="A28" s="482"/>
      <c r="B28" s="505"/>
      <c r="C28" s="468"/>
      <c r="D28" s="472"/>
      <c r="E28" s="478"/>
    </row>
    <row r="29" spans="1:5" s="315" customFormat="1" ht="90" x14ac:dyDescent="0.25">
      <c r="A29" s="648" t="s">
        <v>1207</v>
      </c>
      <c r="B29" s="619">
        <v>30000</v>
      </c>
      <c r="C29" s="657" t="s">
        <v>1177</v>
      </c>
      <c r="D29" s="472" t="s">
        <v>924</v>
      </c>
      <c r="E29" s="558" t="s">
        <v>1277</v>
      </c>
    </row>
    <row r="30" spans="1:5" s="315" customFormat="1" ht="75" x14ac:dyDescent="0.25">
      <c r="A30" s="648" t="s">
        <v>1208</v>
      </c>
      <c r="B30" s="619">
        <v>3</v>
      </c>
      <c r="C30" s="677" t="s">
        <v>1203</v>
      </c>
      <c r="D30" s="472" t="s">
        <v>1200</v>
      </c>
      <c r="E30" s="558" t="s">
        <v>1278</v>
      </c>
    </row>
    <row r="31" spans="1:5" s="315" customFormat="1" x14ac:dyDescent="0.25">
      <c r="A31" s="508" t="s">
        <v>1209</v>
      </c>
      <c r="B31" s="618">
        <f>B29*B30</f>
        <v>90000</v>
      </c>
      <c r="C31" s="529"/>
      <c r="D31" s="472" t="s">
        <v>888</v>
      </c>
      <c r="E31" s="473"/>
    </row>
  </sheetData>
  <conditionalFormatting sqref="B11:B31">
    <cfRule type="expression" dxfId="49" priority="1">
      <formula>$B$8="No"</formula>
    </cfRule>
  </conditionalFormatting>
  <hyperlinks>
    <hyperlink ref="E8" r:id="rId1" xr:uid="{00000000-0004-0000-1400-000000000000}"/>
    <hyperlink ref="E25" r:id="rId2" xr:uid="{00000000-0004-0000-1400-000001000000}"/>
    <hyperlink ref="C11" location="'Salary input data '!A4" display="See Salary input data tab " xr:uid="{00000000-0004-0000-1400-000002000000}"/>
    <hyperlink ref="C15" location="'Salary input data '!A4" display="See Salary input data tab " xr:uid="{00000000-0004-0000-1400-000003000000}"/>
    <hyperlink ref="C21" location="'Salary input data '!A4" display="See Salary input data tab " xr:uid="{00000000-0004-0000-1400-000004000000}"/>
    <hyperlink ref="C29" location="'Salary input data '!A4" display="See Salary input data tab " xr:uid="{00000000-0004-0000-1400-000005000000}"/>
  </hyperlinks>
  <pageMargins left="0.7" right="0.7" top="0.75" bottom="0.75" header="0.3" footer="0.3"/>
  <pageSetup orientation="portrait" horizontalDpi="0" verticalDpi="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You can only enter Yes or No in this cell." xr:uid="{00000000-0002-0000-1400-000000000000}">
          <x14:formula1>
            <xm:f>Sheet2!$A$1:$A$2</xm:f>
          </x14:formula1>
          <xm:sqref>B8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rgb="FFFF0000"/>
  </sheetPr>
  <dimension ref="A1:E85"/>
  <sheetViews>
    <sheetView showGridLines="0" zoomScaleNormal="100" workbookViewId="0">
      <pane ySplit="6" topLeftCell="A7" activePane="bottomLeft" state="frozen"/>
      <selection pane="bottomLeft"/>
    </sheetView>
  </sheetViews>
  <sheetFormatPr defaultColWidth="10.7109375" defaultRowHeight="15" x14ac:dyDescent="0.25"/>
  <cols>
    <col min="1" max="1" width="68.28515625" customWidth="1"/>
    <col min="2" max="3" width="20" hidden="1" customWidth="1"/>
    <col min="4" max="4" width="80" customWidth="1"/>
    <col min="5" max="5" width="42.7109375" customWidth="1"/>
  </cols>
  <sheetData>
    <row r="1" spans="1:5" ht="23.25" x14ac:dyDescent="0.35">
      <c r="A1" s="481" t="s">
        <v>652</v>
      </c>
      <c r="B1" s="499"/>
      <c r="C1" s="315"/>
      <c r="D1" s="315"/>
      <c r="E1" s="315"/>
    </row>
    <row r="2" spans="1:5" ht="90" hidden="1" x14ac:dyDescent="0.25">
      <c r="A2" s="633" t="s">
        <v>963</v>
      </c>
      <c r="B2" s="633"/>
      <c r="C2" s="633"/>
      <c r="D2" s="633"/>
      <c r="E2" s="633"/>
    </row>
    <row r="3" spans="1:5" x14ac:dyDescent="0.25">
      <c r="A3" s="633"/>
      <c r="B3" s="633"/>
      <c r="C3" s="633"/>
      <c r="D3" s="633"/>
      <c r="E3" s="633"/>
    </row>
    <row r="4" spans="1:5" x14ac:dyDescent="0.25">
      <c r="A4" s="633"/>
      <c r="B4" s="633"/>
      <c r="C4" s="633"/>
      <c r="D4" s="633"/>
      <c r="E4" s="633"/>
    </row>
    <row r="5" spans="1:5" x14ac:dyDescent="0.25">
      <c r="A5" s="633"/>
      <c r="B5" s="633"/>
      <c r="C5" s="633"/>
      <c r="D5" s="633"/>
      <c r="E5" s="633"/>
    </row>
    <row r="6" spans="1:5" x14ac:dyDescent="0.25">
      <c r="B6" s="617" t="s">
        <v>964</v>
      </c>
      <c r="C6" s="609" t="s">
        <v>965</v>
      </c>
      <c r="D6" s="609" t="s">
        <v>966</v>
      </c>
      <c r="E6" s="608" t="s">
        <v>935</v>
      </c>
    </row>
    <row r="7" spans="1:5" s="315" customFormat="1" ht="136.5" x14ac:dyDescent="0.35">
      <c r="A7" s="607" t="s">
        <v>644</v>
      </c>
      <c r="B7" s="500"/>
      <c r="C7" s="603"/>
      <c r="D7" s="632" t="s">
        <v>655</v>
      </c>
      <c r="E7" s="491"/>
    </row>
    <row r="8" spans="1:5" s="315" customFormat="1" x14ac:dyDescent="0.25"/>
    <row r="9" spans="1:5" ht="75" x14ac:dyDescent="0.25">
      <c r="A9" s="293" t="s">
        <v>5</v>
      </c>
      <c r="B9" s="638"/>
      <c r="C9" s="631"/>
      <c r="D9" s="663" t="s">
        <v>649</v>
      </c>
      <c r="E9" s="664"/>
    </row>
    <row r="10" spans="1:5" s="315" customFormat="1" x14ac:dyDescent="0.25">
      <c r="C10" s="605"/>
    </row>
    <row r="11" spans="1:5" s="315" customFormat="1" ht="60" x14ac:dyDescent="0.25">
      <c r="A11" s="528" t="s">
        <v>878</v>
      </c>
      <c r="B11" s="525" t="s">
        <v>65</v>
      </c>
      <c r="C11" s="642"/>
      <c r="D11" s="472" t="s">
        <v>879</v>
      </c>
      <c r="E11" s="558" t="s">
        <v>1278</v>
      </c>
    </row>
    <row r="12" spans="1:5" s="315" customFormat="1" ht="45" x14ac:dyDescent="0.25">
      <c r="A12" s="676" t="str">
        <f>IF(B11="Yes","Costs should be entered in terms of what will be incurred for this project. If no new equipment will be purchased for this deployment, enter '$0' in the specific cost line items for equipment below.","")</f>
        <v>Costs should be entered in terms of what will be incurred for this project. If no new equipment will be purchased for this deployment, enter '$0' in the specific cost line items for equipment below.</v>
      </c>
      <c r="B12" s="499"/>
      <c r="C12" s="602"/>
      <c r="D12" s="602"/>
      <c r="E12" s="483"/>
    </row>
    <row r="13" spans="1:5" s="315" customFormat="1" ht="60" x14ac:dyDescent="0.25">
      <c r="A13" s="647" t="s">
        <v>831</v>
      </c>
      <c r="B13" s="619">
        <v>3000</v>
      </c>
      <c r="C13" s="653" t="s">
        <v>1111</v>
      </c>
      <c r="D13" s="472" t="s">
        <v>829</v>
      </c>
      <c r="E13" s="558" t="s">
        <v>1279</v>
      </c>
    </row>
    <row r="14" spans="1:5" s="315" customFormat="1" ht="45" x14ac:dyDescent="0.25">
      <c r="A14" s="648" t="s">
        <v>842</v>
      </c>
      <c r="B14" s="681"/>
      <c r="C14" s="671">
        <f>'Ambito de Implementação'!C17</f>
        <v>0</v>
      </c>
      <c r="D14" s="472" t="s">
        <v>1289</v>
      </c>
      <c r="E14" s="483"/>
    </row>
    <row r="15" spans="1:5" s="315" customFormat="1" x14ac:dyDescent="0.25">
      <c r="A15" s="509" t="s">
        <v>830</v>
      </c>
      <c r="B15" s="620">
        <f>B14*B13</f>
        <v>0</v>
      </c>
      <c r="C15" s="495"/>
      <c r="D15" s="472" t="s">
        <v>832</v>
      </c>
      <c r="E15" s="483"/>
    </row>
    <row r="16" spans="1:5" s="315" customFormat="1" x14ac:dyDescent="0.25">
      <c r="A16" s="497"/>
      <c r="B16" s="621"/>
      <c r="D16" s="602"/>
      <c r="E16" s="483"/>
    </row>
    <row r="17" spans="1:5" s="315" customFormat="1" x14ac:dyDescent="0.25">
      <c r="A17" s="647" t="s">
        <v>833</v>
      </c>
      <c r="B17" s="619">
        <v>700</v>
      </c>
      <c r="C17" s="653" t="s">
        <v>1180</v>
      </c>
      <c r="E17" s="483"/>
    </row>
    <row r="18" spans="1:5" s="315" customFormat="1" ht="30" x14ac:dyDescent="0.25">
      <c r="A18" s="648" t="s">
        <v>841</v>
      </c>
      <c r="B18" s="681"/>
      <c r="C18" s="671">
        <f>'Ambito de Implementação'!C17</f>
        <v>0</v>
      </c>
      <c r="D18" s="472" t="s">
        <v>1290</v>
      </c>
      <c r="E18" s="478" t="s">
        <v>936</v>
      </c>
    </row>
    <row r="19" spans="1:5" s="315" customFormat="1" x14ac:dyDescent="0.25">
      <c r="A19" s="509" t="s">
        <v>834</v>
      </c>
      <c r="B19" s="622">
        <f>B18*B17</f>
        <v>0</v>
      </c>
      <c r="C19" s="495"/>
      <c r="D19" s="472" t="s">
        <v>837</v>
      </c>
    </row>
    <row r="20" spans="1:5" s="315" customFormat="1" x14ac:dyDescent="0.25">
      <c r="A20" s="506"/>
      <c r="B20" s="613"/>
    </row>
    <row r="21" spans="1:5" s="315" customFormat="1" ht="30" x14ac:dyDescent="0.25">
      <c r="A21" s="647" t="s">
        <v>835</v>
      </c>
      <c r="B21" s="665">
        <v>700</v>
      </c>
      <c r="C21" s="653" t="s">
        <v>1117</v>
      </c>
      <c r="D21" s="472"/>
      <c r="E21" s="483"/>
    </row>
    <row r="22" spans="1:5" s="315" customFormat="1" ht="30" x14ac:dyDescent="0.25">
      <c r="A22" s="648" t="s">
        <v>840</v>
      </c>
      <c r="B22" s="681"/>
      <c r="C22" s="671">
        <f>'Ambito de Implementação'!C17</f>
        <v>0</v>
      </c>
      <c r="D22" s="472" t="s">
        <v>656</v>
      </c>
      <c r="E22" s="478" t="s">
        <v>934</v>
      </c>
    </row>
    <row r="23" spans="1:5" s="315" customFormat="1" x14ac:dyDescent="0.25">
      <c r="A23" s="509" t="s">
        <v>836</v>
      </c>
      <c r="B23" s="622">
        <f>B21*B22</f>
        <v>0</v>
      </c>
      <c r="C23" s="495"/>
      <c r="D23" s="472" t="s">
        <v>838</v>
      </c>
    </row>
    <row r="24" spans="1:5" s="315" customFormat="1" x14ac:dyDescent="0.25">
      <c r="A24" s="497"/>
      <c r="B24" s="613"/>
    </row>
    <row r="25" spans="1:5" s="315" customFormat="1" ht="60" x14ac:dyDescent="0.25">
      <c r="A25" s="647" t="s">
        <v>839</v>
      </c>
      <c r="B25" s="665">
        <v>300</v>
      </c>
      <c r="C25" s="653" t="s">
        <v>1122</v>
      </c>
      <c r="D25" s="472" t="s">
        <v>1123</v>
      </c>
      <c r="E25" s="478" t="s">
        <v>938</v>
      </c>
    </row>
    <row r="26" spans="1:5" s="315" customFormat="1" ht="30" x14ac:dyDescent="0.25">
      <c r="A26" s="648" t="s">
        <v>843</v>
      </c>
      <c r="B26" s="681">
        <v>2000</v>
      </c>
      <c r="C26" s="671">
        <f>'Ambito de Implementação'!C17</f>
        <v>0</v>
      </c>
      <c r="D26" s="472" t="s">
        <v>880</v>
      </c>
      <c r="E26" s="478" t="s">
        <v>934</v>
      </c>
    </row>
    <row r="27" spans="1:5" s="315" customFormat="1" ht="30" x14ac:dyDescent="0.25">
      <c r="A27" s="509" t="s">
        <v>844</v>
      </c>
      <c r="B27" s="622">
        <f>B25*B26</f>
        <v>600000</v>
      </c>
      <c r="C27" s="636"/>
      <c r="D27" s="472" t="s">
        <v>845</v>
      </c>
    </row>
    <row r="28" spans="1:5" s="315" customFormat="1" x14ac:dyDescent="0.25">
      <c r="A28" s="506"/>
      <c r="B28" s="623"/>
      <c r="C28" s="666"/>
      <c r="D28" s="486"/>
    </row>
    <row r="29" spans="1:5" s="315" customFormat="1" ht="30" x14ac:dyDescent="0.25">
      <c r="A29" s="648" t="s">
        <v>883</v>
      </c>
      <c r="B29" s="619">
        <v>500</v>
      </c>
      <c r="C29" s="628"/>
      <c r="D29" s="635" t="s">
        <v>846</v>
      </c>
    </row>
    <row r="30" spans="1:5" s="315" customFormat="1" x14ac:dyDescent="0.25">
      <c r="A30" s="484"/>
      <c r="B30" s="499"/>
    </row>
    <row r="31" spans="1:5" ht="30" x14ac:dyDescent="0.25">
      <c r="A31" s="293" t="s">
        <v>7</v>
      </c>
      <c r="B31" s="638"/>
      <c r="C31" s="631"/>
      <c r="D31" s="663" t="s">
        <v>657</v>
      </c>
      <c r="E31" s="664"/>
    </row>
    <row r="32" spans="1:5" s="315" customFormat="1" x14ac:dyDescent="0.25">
      <c r="C32" s="605"/>
    </row>
    <row r="33" spans="1:5" s="315" customFormat="1" ht="60" x14ac:dyDescent="0.25">
      <c r="A33" s="648" t="s">
        <v>847</v>
      </c>
      <c r="B33" s="525" t="s">
        <v>65</v>
      </c>
      <c r="C33" s="642"/>
      <c r="D33" s="472" t="s">
        <v>881</v>
      </c>
      <c r="E33" s="558" t="s">
        <v>1278</v>
      </c>
    </row>
    <row r="34" spans="1:5" s="315" customFormat="1" ht="45" x14ac:dyDescent="0.25">
      <c r="A34" s="672" t="str">
        <f>IF(B33="Yes","Costs should be entered in terms of what will be incurred for this project. If no new infrastructure will be purchased for this deployment, enter '$0' in the specific cost line items for infrastructure below.","")</f>
        <v>Costs should be entered in terms of what will be incurred for this project. If no new infrastructure will be purchased for this deployment, enter '$0' in the specific cost line items for infrastructure below.</v>
      </c>
      <c r="B34" s="499"/>
      <c r="E34" s="483"/>
    </row>
    <row r="35" spans="1:5" s="315" customFormat="1" ht="60" x14ac:dyDescent="0.25">
      <c r="A35" s="647" t="s">
        <v>848</v>
      </c>
      <c r="B35" s="665">
        <v>500</v>
      </c>
      <c r="C35" s="642"/>
      <c r="D35" s="472" t="s">
        <v>1124</v>
      </c>
      <c r="E35" s="478" t="s">
        <v>934</v>
      </c>
    </row>
    <row r="36" spans="1:5" s="315" customFormat="1" ht="30" x14ac:dyDescent="0.25">
      <c r="A36" s="648" t="s">
        <v>849</v>
      </c>
      <c r="B36" s="681">
        <v>1000</v>
      </c>
      <c r="C36" s="642"/>
      <c r="D36" s="472" t="s">
        <v>850</v>
      </c>
      <c r="E36" s="483"/>
    </row>
    <row r="37" spans="1:5" s="315" customFormat="1" ht="30" x14ac:dyDescent="0.25">
      <c r="A37" s="509" t="s">
        <v>858</v>
      </c>
      <c r="B37" s="622">
        <f>B36*B35</f>
        <v>500000</v>
      </c>
      <c r="C37" s="495"/>
      <c r="D37" s="472" t="s">
        <v>851</v>
      </c>
      <c r="E37" s="464"/>
    </row>
    <row r="38" spans="1:5" s="315" customFormat="1" x14ac:dyDescent="0.25">
      <c r="B38" s="613"/>
    </row>
    <row r="39" spans="1:5" s="315" customFormat="1" ht="75" x14ac:dyDescent="0.25">
      <c r="A39" s="673" t="s">
        <v>854</v>
      </c>
      <c r="B39" s="667">
        <v>60</v>
      </c>
      <c r="C39" s="653" t="s">
        <v>1139</v>
      </c>
      <c r="D39" s="472" t="s">
        <v>856</v>
      </c>
      <c r="E39" s="558" t="s">
        <v>1278</v>
      </c>
    </row>
    <row r="40" spans="1:5" s="315" customFormat="1" ht="30" x14ac:dyDescent="0.25">
      <c r="A40" s="648" t="s">
        <v>855</v>
      </c>
      <c r="B40" s="681">
        <v>1000</v>
      </c>
      <c r="C40" s="642"/>
      <c r="D40" s="472" t="s">
        <v>857</v>
      </c>
      <c r="E40" s="478" t="s">
        <v>938</v>
      </c>
    </row>
    <row r="41" spans="1:5" s="315" customFormat="1" x14ac:dyDescent="0.25">
      <c r="A41" s="509" t="s">
        <v>859</v>
      </c>
      <c r="B41" s="622">
        <f>B39*B40</f>
        <v>60000</v>
      </c>
      <c r="C41" s="495"/>
      <c r="D41" s="472" t="s">
        <v>871</v>
      </c>
      <c r="E41" s="464"/>
    </row>
    <row r="42" spans="1:5" s="315" customFormat="1" x14ac:dyDescent="0.25">
      <c r="B42" s="613"/>
    </row>
    <row r="43" spans="1:5" s="315" customFormat="1" ht="30" x14ac:dyDescent="0.25">
      <c r="A43" s="647" t="s">
        <v>860</v>
      </c>
      <c r="B43" s="619">
        <v>100</v>
      </c>
      <c r="C43" s="653" t="s">
        <v>1128</v>
      </c>
      <c r="D43" s="471"/>
      <c r="E43" s="478" t="s">
        <v>938</v>
      </c>
    </row>
    <row r="44" spans="1:5" s="315" customFormat="1" ht="60" x14ac:dyDescent="0.25">
      <c r="A44" s="648" t="s">
        <v>861</v>
      </c>
      <c r="B44" s="681">
        <v>1000</v>
      </c>
      <c r="C44" s="674">
        <f>'Ambito de Implementação'!C17</f>
        <v>0</v>
      </c>
      <c r="D44" s="472" t="s">
        <v>1292</v>
      </c>
      <c r="E44" s="478" t="s">
        <v>934</v>
      </c>
    </row>
    <row r="45" spans="1:5" s="315" customFormat="1" ht="30" x14ac:dyDescent="0.25">
      <c r="A45" s="509" t="s">
        <v>869</v>
      </c>
      <c r="B45" s="622">
        <f>B43*B44</f>
        <v>100000</v>
      </c>
      <c r="C45" s="495"/>
      <c r="D45" s="472" t="s">
        <v>862</v>
      </c>
    </row>
    <row r="46" spans="1:5" s="315" customFormat="1" x14ac:dyDescent="0.25">
      <c r="A46" s="485"/>
      <c r="B46" s="613"/>
    </row>
    <row r="47" spans="1:5" s="315" customFormat="1" ht="30" x14ac:dyDescent="0.25">
      <c r="A47" s="648" t="s">
        <v>885</v>
      </c>
      <c r="B47" s="619">
        <v>0</v>
      </c>
      <c r="C47" s="642"/>
      <c r="D47" s="635" t="s">
        <v>884</v>
      </c>
      <c r="E47" s="478" t="s">
        <v>934</v>
      </c>
    </row>
    <row r="48" spans="1:5" s="315" customFormat="1" x14ac:dyDescent="0.25">
      <c r="A48" s="480"/>
      <c r="B48" s="501"/>
      <c r="C48" s="479"/>
      <c r="D48" s="479"/>
      <c r="E48" s="479"/>
    </row>
    <row r="49" spans="1:5" ht="30" x14ac:dyDescent="0.25">
      <c r="A49" s="637" t="s">
        <v>9</v>
      </c>
      <c r="B49" s="638"/>
      <c r="C49" s="631"/>
      <c r="D49" s="663" t="s">
        <v>645</v>
      </c>
      <c r="E49" s="664"/>
    </row>
    <row r="50" spans="1:5" s="315" customFormat="1" x14ac:dyDescent="0.25">
      <c r="C50" s="602"/>
    </row>
    <row r="51" spans="1:5" s="315" customFormat="1" ht="60" x14ac:dyDescent="0.25">
      <c r="A51" s="648" t="s">
        <v>1204</v>
      </c>
      <c r="B51" s="619">
        <v>10000</v>
      </c>
      <c r="C51" s="657" t="s">
        <v>1177</v>
      </c>
      <c r="D51" s="472" t="s">
        <v>887</v>
      </c>
      <c r="E51" s="558" t="s">
        <v>1278</v>
      </c>
    </row>
    <row r="52" spans="1:5" s="315" customFormat="1" ht="45" x14ac:dyDescent="0.25">
      <c r="A52" s="648" t="s">
        <v>1190</v>
      </c>
      <c r="B52" s="624">
        <v>0.5</v>
      </c>
      <c r="C52" s="668">
        <v>0.5</v>
      </c>
      <c r="D52" s="472" t="s">
        <v>1205</v>
      </c>
      <c r="E52" s="478" t="s">
        <v>936</v>
      </c>
    </row>
    <row r="53" spans="1:5" s="315" customFormat="1" x14ac:dyDescent="0.25">
      <c r="A53" s="508" t="s">
        <v>863</v>
      </c>
      <c r="B53" s="622">
        <f>B51*B52</f>
        <v>5000</v>
      </c>
      <c r="C53" s="495"/>
      <c r="D53" s="472" t="s">
        <v>888</v>
      </c>
    </row>
    <row r="54" spans="1:5" s="315" customFormat="1" x14ac:dyDescent="0.25">
      <c r="A54" s="497"/>
      <c r="B54" s="613"/>
    </row>
    <row r="55" spans="1:5" s="315" customFormat="1" ht="30" x14ac:dyDescent="0.25">
      <c r="A55" s="528" t="s">
        <v>886</v>
      </c>
      <c r="B55" s="619">
        <v>0</v>
      </c>
      <c r="C55" s="642"/>
      <c r="D55" s="635"/>
      <c r="E55" s="483"/>
    </row>
    <row r="56" spans="1:5" s="315" customFormat="1" x14ac:dyDescent="0.25">
      <c r="A56" s="480"/>
      <c r="B56" s="501"/>
      <c r="C56" s="479"/>
      <c r="D56" s="479"/>
      <c r="E56" s="479"/>
    </row>
    <row r="57" spans="1:5" ht="30" x14ac:dyDescent="0.25">
      <c r="A57" s="637" t="s">
        <v>11</v>
      </c>
      <c r="B57" s="638"/>
      <c r="C57" s="631"/>
      <c r="D57" s="663" t="s">
        <v>658</v>
      </c>
      <c r="E57" s="640"/>
    </row>
    <row r="58" spans="1:5" s="315" customFormat="1" ht="75" x14ac:dyDescent="0.25">
      <c r="A58" s="648" t="s">
        <v>1211</v>
      </c>
      <c r="B58" s="619">
        <v>40000</v>
      </c>
      <c r="C58" s="657" t="s">
        <v>1177</v>
      </c>
      <c r="D58" s="472" t="s">
        <v>659</v>
      </c>
      <c r="E58" s="478" t="s">
        <v>934</v>
      </c>
    </row>
    <row r="59" spans="1:5" s="315" customFormat="1" ht="30" x14ac:dyDescent="0.25">
      <c r="A59" s="647" t="s">
        <v>1219</v>
      </c>
      <c r="B59" s="625">
        <v>1</v>
      </c>
      <c r="C59" s="642"/>
      <c r="D59" s="472" t="s">
        <v>1210</v>
      </c>
      <c r="E59" s="483"/>
    </row>
    <row r="60" spans="1:5" s="315" customFormat="1" x14ac:dyDescent="0.25">
      <c r="A60" s="508" t="s">
        <v>918</v>
      </c>
      <c r="B60" s="622">
        <f>B58*B59</f>
        <v>40000</v>
      </c>
      <c r="C60" s="495"/>
      <c r="D60" s="472" t="s">
        <v>888</v>
      </c>
    </row>
    <row r="61" spans="1:5" s="315" customFormat="1" x14ac:dyDescent="0.25">
      <c r="A61" s="497"/>
      <c r="B61" s="501"/>
      <c r="C61" s="479"/>
      <c r="D61" s="479"/>
      <c r="E61" s="479"/>
    </row>
    <row r="62" spans="1:5" ht="45" x14ac:dyDescent="0.25">
      <c r="A62" s="637" t="s">
        <v>1181</v>
      </c>
      <c r="B62" s="638"/>
      <c r="C62" s="631"/>
      <c r="D62" s="639" t="s">
        <v>921</v>
      </c>
      <c r="E62" s="640"/>
    </row>
    <row r="63" spans="1:5" s="315" customFormat="1" ht="45" x14ac:dyDescent="0.25">
      <c r="A63" s="648" t="s">
        <v>1212</v>
      </c>
      <c r="B63" s="626">
        <v>20000</v>
      </c>
      <c r="C63" s="657" t="s">
        <v>1177</v>
      </c>
      <c r="D63" s="472" t="s">
        <v>889</v>
      </c>
      <c r="E63" s="478" t="s">
        <v>934</v>
      </c>
    </row>
    <row r="64" spans="1:5" s="315" customFormat="1" ht="30" x14ac:dyDescent="0.25">
      <c r="A64" s="647" t="s">
        <v>1218</v>
      </c>
      <c r="B64" s="625">
        <v>2</v>
      </c>
      <c r="C64" s="642"/>
      <c r="D64" s="472" t="s">
        <v>1210</v>
      </c>
      <c r="E64" s="483"/>
    </row>
    <row r="65" spans="1:5" s="315" customFormat="1" ht="30" x14ac:dyDescent="0.25">
      <c r="A65" s="508" t="s">
        <v>1182</v>
      </c>
      <c r="B65" s="622">
        <f>B63*B64</f>
        <v>40000</v>
      </c>
      <c r="C65" s="495"/>
      <c r="D65" s="472" t="s">
        <v>888</v>
      </c>
    </row>
    <row r="66" spans="1:5" s="315" customFormat="1" x14ac:dyDescent="0.25">
      <c r="A66" s="480"/>
      <c r="B66" s="501"/>
      <c r="C66" s="479"/>
      <c r="D66" s="479"/>
      <c r="E66" s="479"/>
    </row>
    <row r="67" spans="1:5" ht="75" x14ac:dyDescent="0.25">
      <c r="A67" s="637" t="s">
        <v>33</v>
      </c>
      <c r="B67" s="638"/>
      <c r="C67" s="631"/>
      <c r="D67" s="649" t="s">
        <v>922</v>
      </c>
      <c r="E67" s="640"/>
    </row>
    <row r="68" spans="1:5" s="315" customFormat="1" ht="60" x14ac:dyDescent="0.25">
      <c r="A68" s="648" t="s">
        <v>1233</v>
      </c>
      <c r="B68" s="619">
        <v>10000</v>
      </c>
      <c r="C68" s="657" t="s">
        <v>1177</v>
      </c>
      <c r="D68" s="634" t="s">
        <v>919</v>
      </c>
      <c r="E68" s="478" t="s">
        <v>936</v>
      </c>
    </row>
    <row r="69" spans="1:5" s="315" customFormat="1" ht="45" x14ac:dyDescent="0.25">
      <c r="A69" s="647" t="s">
        <v>1217</v>
      </c>
      <c r="B69" s="625">
        <v>1</v>
      </c>
      <c r="C69" s="668">
        <v>0.5</v>
      </c>
      <c r="D69" s="472" t="s">
        <v>1205</v>
      </c>
      <c r="E69" s="473" t="s">
        <v>937</v>
      </c>
    </row>
    <row r="70" spans="1:5" s="315" customFormat="1" x14ac:dyDescent="0.25">
      <c r="A70" s="508" t="s">
        <v>1262</v>
      </c>
      <c r="B70" s="622">
        <f>B68*B69</f>
        <v>10000</v>
      </c>
      <c r="C70" s="495"/>
      <c r="D70" s="472" t="s">
        <v>1258</v>
      </c>
      <c r="E70" s="473"/>
    </row>
    <row r="71" spans="1:5" s="315" customFormat="1" x14ac:dyDescent="0.25">
      <c r="A71" s="508"/>
      <c r="B71" s="613"/>
      <c r="C71" s="602"/>
      <c r="D71" s="472"/>
      <c r="E71" s="473"/>
    </row>
    <row r="72" spans="1:5" s="315" customFormat="1" ht="75" x14ac:dyDescent="0.25">
      <c r="A72" s="647" t="s">
        <v>1234</v>
      </c>
      <c r="B72" s="619">
        <v>15000</v>
      </c>
      <c r="C72" s="668" t="s">
        <v>1132</v>
      </c>
      <c r="D72" s="472" t="s">
        <v>920</v>
      </c>
      <c r="E72" s="478" t="s">
        <v>939</v>
      </c>
    </row>
    <row r="73" spans="1:5" s="315" customFormat="1" x14ac:dyDescent="0.25">
      <c r="A73" s="508"/>
      <c r="B73" s="502"/>
      <c r="C73" s="602"/>
      <c r="D73" s="602"/>
    </row>
    <row r="74" spans="1:5" ht="45" x14ac:dyDescent="0.25">
      <c r="A74" s="637" t="s">
        <v>13</v>
      </c>
      <c r="B74" s="638"/>
      <c r="C74" s="631"/>
      <c r="D74" s="639" t="s">
        <v>660</v>
      </c>
      <c r="E74" s="640"/>
    </row>
    <row r="75" spans="1:5" s="315" customFormat="1" ht="45" x14ac:dyDescent="0.25">
      <c r="A75" s="648" t="s">
        <v>890</v>
      </c>
      <c r="B75" s="524" t="s">
        <v>648</v>
      </c>
      <c r="C75" s="642"/>
      <c r="D75" s="472" t="s">
        <v>891</v>
      </c>
      <c r="E75" s="478" t="s">
        <v>934</v>
      </c>
    </row>
    <row r="76" spans="1:5" s="315" customFormat="1" x14ac:dyDescent="0.25">
      <c r="A76" s="656"/>
      <c r="B76" s="499"/>
    </row>
    <row r="77" spans="1:5" s="315" customFormat="1" ht="30" x14ac:dyDescent="0.25">
      <c r="A77" s="655" t="s">
        <v>1235</v>
      </c>
      <c r="B77" s="619">
        <v>20000</v>
      </c>
      <c r="C77" s="657" t="s">
        <v>1177</v>
      </c>
      <c r="D77" s="472" t="s">
        <v>1317</v>
      </c>
      <c r="E77" s="478" t="s">
        <v>934</v>
      </c>
    </row>
    <row r="78" spans="1:5" s="315" customFormat="1" ht="45" x14ac:dyDescent="0.25">
      <c r="A78" s="647" t="s">
        <v>1220</v>
      </c>
      <c r="B78" s="619">
        <v>0.5</v>
      </c>
      <c r="C78" s="668" t="s">
        <v>1225</v>
      </c>
      <c r="D78" s="472" t="s">
        <v>1224</v>
      </c>
      <c r="E78" s="478" t="s">
        <v>934</v>
      </c>
    </row>
    <row r="79" spans="1:5" s="315" customFormat="1" x14ac:dyDescent="0.25">
      <c r="A79" s="508" t="s">
        <v>1221</v>
      </c>
      <c r="B79" s="622">
        <f>B77*B78</f>
        <v>10000</v>
      </c>
      <c r="C79" s="636"/>
      <c r="D79" s="472" t="s">
        <v>1222</v>
      </c>
      <c r="E79" s="478"/>
    </row>
    <row r="80" spans="1:5" s="315" customFormat="1" x14ac:dyDescent="0.25">
      <c r="A80" s="508"/>
      <c r="B80" s="613"/>
      <c r="C80" s="627"/>
      <c r="D80" s="472"/>
      <c r="E80" s="478"/>
    </row>
    <row r="81" spans="1:5" s="315" customFormat="1" ht="90" x14ac:dyDescent="0.25">
      <c r="A81" s="647" t="s">
        <v>1183</v>
      </c>
      <c r="B81" s="619">
        <v>700</v>
      </c>
      <c r="C81" s="653" t="s">
        <v>1133</v>
      </c>
      <c r="D81" s="472" t="s">
        <v>662</v>
      </c>
      <c r="E81" s="478" t="s">
        <v>936</v>
      </c>
    </row>
    <row r="82" spans="1:5" s="315" customFormat="1" x14ac:dyDescent="0.25">
      <c r="A82" s="647" t="s">
        <v>1257</v>
      </c>
      <c r="B82" s="669">
        <v>5</v>
      </c>
      <c r="C82" s="670" t="s">
        <v>1286</v>
      </c>
      <c r="D82" s="602"/>
      <c r="E82" s="478"/>
    </row>
    <row r="83" spans="1:5" s="315" customFormat="1" ht="30" x14ac:dyDescent="0.25">
      <c r="A83" s="648" t="s">
        <v>864</v>
      </c>
      <c r="B83" s="681">
        <v>1000</v>
      </c>
      <c r="C83" s="675">
        <f>'Ambito de Implementação'!C17</f>
        <v>0</v>
      </c>
      <c r="D83" s="472" t="s">
        <v>1291</v>
      </c>
      <c r="E83" s="483"/>
    </row>
    <row r="84" spans="1:5" s="315" customFormat="1" ht="30" x14ac:dyDescent="0.25">
      <c r="A84" s="508" t="s">
        <v>874</v>
      </c>
      <c r="B84" s="622">
        <f>B79+(B81*B82*B83)</f>
        <v>3510000</v>
      </c>
      <c r="C84" s="495"/>
      <c r="D84" s="472" t="s">
        <v>1223</v>
      </c>
    </row>
    <row r="85" spans="1:5" s="315" customFormat="1" x14ac:dyDescent="0.25">
      <c r="B85" s="499"/>
    </row>
  </sheetData>
  <conditionalFormatting sqref="B14 B18 B22 B26 B36 B40 B44 B83">
    <cfRule type="expression" dxfId="48" priority="1">
      <formula>$A$23="enter the number of sites where the DHI will be deployed"</formula>
    </cfRule>
  </conditionalFormatting>
  <dataValidations count="3">
    <dataValidation type="textLength" allowBlank="1" showInputMessage="1" showErrorMessage="1" error="You can only enter Yes or No in this cell." sqref="B12" xr:uid="{00000000-0002-0000-1500-000000000000}">
      <formula1>2</formula1>
      <formula2>3</formula2>
    </dataValidation>
    <dataValidation type="whole" allowBlank="1" showInputMessage="1" showErrorMessage="1" error="Entry must be a whole number. " sqref="B82" xr:uid="{00000000-0002-0000-1500-000001000000}">
      <formula1>0</formula1>
      <formula2>10000000</formula2>
    </dataValidation>
    <dataValidation allowBlank="1" sqref="B52 B64 B59" xr:uid="{00000000-0002-0000-1500-000002000000}"/>
  </dataValidations>
  <hyperlinks>
    <hyperlink ref="E18" r:id="rId1" xr:uid="{00000000-0004-0000-1500-000000000000}"/>
    <hyperlink ref="E22" r:id="rId2" xr:uid="{00000000-0004-0000-1500-000001000000}"/>
    <hyperlink ref="E26" r:id="rId3" xr:uid="{00000000-0004-0000-1500-000002000000}"/>
    <hyperlink ref="E35" r:id="rId4" xr:uid="{00000000-0004-0000-1500-000003000000}"/>
    <hyperlink ref="E40" r:id="rId5" xr:uid="{00000000-0004-0000-1500-000004000000}"/>
    <hyperlink ref="E44" r:id="rId6" xr:uid="{00000000-0004-0000-1500-000005000000}"/>
    <hyperlink ref="E47" r:id="rId7" xr:uid="{00000000-0004-0000-1500-000006000000}"/>
    <hyperlink ref="E52" r:id="rId8" xr:uid="{00000000-0004-0000-1500-000007000000}"/>
    <hyperlink ref="E58" r:id="rId9" xr:uid="{00000000-0004-0000-1500-000008000000}"/>
    <hyperlink ref="E63" r:id="rId10" xr:uid="{00000000-0004-0000-1500-000009000000}"/>
    <hyperlink ref="E68" r:id="rId11" xr:uid="{00000000-0004-0000-1500-00000A000000}"/>
    <hyperlink ref="E69" r:id="rId12" xr:uid="{00000000-0004-0000-1500-00000B000000}"/>
    <hyperlink ref="E72" r:id="rId13" xr:uid="{00000000-0004-0000-1500-00000C000000}"/>
    <hyperlink ref="E75" r:id="rId14" xr:uid="{00000000-0004-0000-1500-00000D000000}"/>
    <hyperlink ref="E77" r:id="rId15" xr:uid="{00000000-0004-0000-1500-00000E000000}"/>
    <hyperlink ref="E81" r:id="rId16" xr:uid="{00000000-0004-0000-1500-00000F000000}"/>
    <hyperlink ref="E25" r:id="rId17" xr:uid="{00000000-0004-0000-1500-000010000000}"/>
    <hyperlink ref="E43" r:id="rId18" xr:uid="{00000000-0004-0000-1500-000011000000}"/>
    <hyperlink ref="E78" r:id="rId19" xr:uid="{00000000-0004-0000-1500-000012000000}"/>
    <hyperlink ref="C51" location="'Salary input data '!A4" display="See Salary input data tab " xr:uid="{00000000-0004-0000-1500-000013000000}"/>
    <hyperlink ref="C58" location="'Salary input data '!A4" display="See Salary input data tab " xr:uid="{00000000-0004-0000-1500-000014000000}"/>
    <hyperlink ref="C63" location="'Salary input data '!A4" display="See Salary input data tab " xr:uid="{00000000-0004-0000-1500-000015000000}"/>
    <hyperlink ref="C68" location="'Salary input data '!A4" display="See Salary input data tab " xr:uid="{00000000-0004-0000-1500-000016000000}"/>
    <hyperlink ref="C77" location="'Salary input data '!A4" display="See Salary input data tab " xr:uid="{00000000-0004-0000-1500-000017000000}"/>
  </hyperlinks>
  <pageMargins left="0.7" right="0.7" top="0.75" bottom="0.75" header="0.3" footer="0.3"/>
  <drawing r:id="rId20"/>
  <extLst>
    <ext xmlns:x14="http://schemas.microsoft.com/office/spreadsheetml/2009/9/main" uri="{CCE6A557-97BC-4b89-ADB6-D9C93CAAB3DF}">
      <x14:dataValidations xmlns:xm="http://schemas.microsoft.com/office/excel/2006/main" count="2">
        <x14:dataValidation type="list" allowBlank="1" showInputMessage="1" showErrorMessage="1" error="You can only enter Yes or No in this cell." xr:uid="{00000000-0002-0000-1500-000003000000}">
          <x14:formula1>
            <xm:f>Sheet2!$A$1:$A$2</xm:f>
          </x14:formula1>
          <xm:sqref>B33 B11</xm:sqref>
        </x14:dataValidation>
        <x14:dataValidation type="list" allowBlank="1" showInputMessage="1" showErrorMessage="1" xr:uid="{00000000-0002-0000-1500-000004000000}">
          <x14:formula1>
            <xm:f>Sheet15!$A$1:$A$3</xm:f>
          </x14:formula1>
          <xm:sqref>B75:B76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4" tint="-0.249977111117893"/>
  </sheetPr>
  <dimension ref="A1"/>
  <sheetViews>
    <sheetView workbookViewId="0">
      <selection activeCell="E221" sqref="E221"/>
    </sheetView>
  </sheetViews>
  <sheetFormatPr defaultColWidth="8.7109375"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563C1"/>
  </sheetPr>
  <dimension ref="A1:K166"/>
  <sheetViews>
    <sheetView zoomScale="110" zoomScaleNormal="110" workbookViewId="0">
      <selection activeCell="K6" sqref="K6:K7"/>
    </sheetView>
  </sheetViews>
  <sheetFormatPr defaultColWidth="8.7109375" defaultRowHeight="15" x14ac:dyDescent="0.25"/>
  <cols>
    <col min="1" max="1" width="27.42578125" style="315" bestFit="1" customWidth="1"/>
    <col min="2" max="2" width="25.42578125" style="315" bestFit="1" customWidth="1"/>
    <col min="3" max="3" width="27" style="315" bestFit="1" customWidth="1"/>
    <col min="4" max="10" width="0" style="315" hidden="1" customWidth="1"/>
    <col min="11" max="11" width="16.7109375" style="315" customWidth="1"/>
    <col min="12" max="16384" width="8.7109375" style="315"/>
  </cols>
  <sheetData>
    <row r="1" spans="1:11" x14ac:dyDescent="0.25">
      <c r="D1" s="475" t="s">
        <v>1178</v>
      </c>
    </row>
    <row r="2" spans="1:11" x14ac:dyDescent="0.25">
      <c r="A2" t="s">
        <v>265</v>
      </c>
      <c r="B2" t="s">
        <v>676</v>
      </c>
      <c r="C2" t="s">
        <v>968</v>
      </c>
      <c r="D2" t="s">
        <v>1147</v>
      </c>
      <c r="E2" t="s">
        <v>1148</v>
      </c>
      <c r="F2" t="s">
        <v>1149</v>
      </c>
      <c r="G2" t="s">
        <v>1150</v>
      </c>
      <c r="H2" t="s">
        <v>1151</v>
      </c>
      <c r="I2" t="s">
        <v>1152</v>
      </c>
      <c r="J2" t="s">
        <v>1153</v>
      </c>
      <c r="K2" t="s">
        <v>1154</v>
      </c>
    </row>
    <row r="3" spans="1:11" x14ac:dyDescent="0.25">
      <c r="A3" s="514" t="s">
        <v>677</v>
      </c>
      <c r="B3" s="514">
        <v>2</v>
      </c>
      <c r="C3" s="514" t="s">
        <v>969</v>
      </c>
      <c r="D3" s="517">
        <v>37861</v>
      </c>
      <c r="E3" s="517">
        <v>45865</v>
      </c>
      <c r="F3" s="517">
        <v>54609</v>
      </c>
      <c r="G3" s="517">
        <v>62209</v>
      </c>
      <c r="H3" s="517">
        <v>75552</v>
      </c>
      <c r="I3" s="517">
        <v>91448</v>
      </c>
      <c r="J3" s="517">
        <v>110396</v>
      </c>
      <c r="K3" s="515">
        <v>42.7</v>
      </c>
    </row>
    <row r="4" spans="1:11" x14ac:dyDescent="0.25">
      <c r="A4" s="514" t="s">
        <v>678</v>
      </c>
      <c r="B4" s="514">
        <v>3</v>
      </c>
      <c r="C4" s="514" t="s">
        <v>970</v>
      </c>
      <c r="D4" s="517">
        <v>23712.57</v>
      </c>
      <c r="E4" s="517">
        <v>26784.870000000003</v>
      </c>
      <c r="F4" s="517">
        <v>30546.11</v>
      </c>
      <c r="G4" s="517">
        <v>41317.780000000006</v>
      </c>
      <c r="H4" s="517">
        <v>50162.280000000006</v>
      </c>
      <c r="I4" s="517">
        <v>64024.87</v>
      </c>
      <c r="J4" s="517">
        <v>81909.38</v>
      </c>
      <c r="K4" s="514">
        <v>23.8</v>
      </c>
    </row>
    <row r="5" spans="1:11" x14ac:dyDescent="0.25">
      <c r="A5" s="514" t="s">
        <v>679</v>
      </c>
      <c r="B5" s="514">
        <v>3</v>
      </c>
      <c r="C5" s="514" t="s">
        <v>1007</v>
      </c>
      <c r="D5" s="517">
        <v>16768.023705</v>
      </c>
      <c r="E5" s="517">
        <v>20272.959900000002</v>
      </c>
      <c r="F5" s="517">
        <v>24506.386020000002</v>
      </c>
      <c r="G5" s="517">
        <v>34914.558780000007</v>
      </c>
      <c r="H5" s="517">
        <v>44967.264450000002</v>
      </c>
      <c r="I5" s="517">
        <v>59364.319725000001</v>
      </c>
      <c r="J5" s="517">
        <v>78454.412460000007</v>
      </c>
      <c r="K5" s="514">
        <v>34.200000000000003</v>
      </c>
    </row>
    <row r="6" spans="1:11" x14ac:dyDescent="0.25">
      <c r="A6" s="514" t="s">
        <v>680</v>
      </c>
      <c r="B6" s="514">
        <v>3</v>
      </c>
      <c r="C6" s="514" t="s">
        <v>1004</v>
      </c>
      <c r="D6" s="517"/>
      <c r="E6" s="517"/>
      <c r="F6" s="517"/>
      <c r="G6" s="517"/>
      <c r="H6" s="517"/>
      <c r="I6" s="517"/>
      <c r="J6" s="517"/>
      <c r="K6" s="514"/>
    </row>
    <row r="7" spans="1:11" x14ac:dyDescent="0.25">
      <c r="A7" s="514" t="s">
        <v>681</v>
      </c>
      <c r="B7" s="514">
        <v>1</v>
      </c>
      <c r="C7" s="514" t="s">
        <v>1005</v>
      </c>
      <c r="D7" s="517">
        <v>58911</v>
      </c>
      <c r="E7" s="517">
        <v>72045</v>
      </c>
      <c r="F7" s="517">
        <v>88694</v>
      </c>
      <c r="G7" s="517">
        <v>125739</v>
      </c>
      <c r="H7" s="517">
        <v>157661</v>
      </c>
      <c r="I7" s="517">
        <v>202187</v>
      </c>
      <c r="J7" s="517">
        <v>258733</v>
      </c>
      <c r="K7" s="514">
        <v>47.7</v>
      </c>
    </row>
    <row r="8" spans="1:11" x14ac:dyDescent="0.25">
      <c r="A8" s="514" t="s">
        <v>682</v>
      </c>
      <c r="B8" s="514">
        <v>3</v>
      </c>
      <c r="C8" s="514" t="s">
        <v>1006</v>
      </c>
      <c r="D8" s="517">
        <v>41406.995629999998</v>
      </c>
      <c r="E8" s="517">
        <v>50667.541924999998</v>
      </c>
      <c r="F8" s="517">
        <v>61912.160309999992</v>
      </c>
      <c r="G8" s="517">
        <v>63566.788284999995</v>
      </c>
      <c r="H8" s="517">
        <v>83040.657699999996</v>
      </c>
      <c r="I8" s="517">
        <v>102153.97191999998</v>
      </c>
      <c r="J8" s="517">
        <v>121509.87848999999</v>
      </c>
      <c r="K8" s="514">
        <v>49.7</v>
      </c>
    </row>
    <row r="9" spans="1:11" x14ac:dyDescent="0.25">
      <c r="A9" s="514" t="s">
        <v>683</v>
      </c>
      <c r="B9" s="514">
        <v>3</v>
      </c>
      <c r="C9" s="514" t="s">
        <v>1008</v>
      </c>
      <c r="D9" s="517">
        <v>33341.412819999998</v>
      </c>
      <c r="E9" s="517">
        <v>40857.897440000001</v>
      </c>
      <c r="F9" s="517">
        <v>50022.08812</v>
      </c>
      <c r="G9" s="517">
        <v>56429.235440000004</v>
      </c>
      <c r="H9" s="517">
        <v>75015.424859999999</v>
      </c>
      <c r="I9" s="517">
        <v>101719.5926</v>
      </c>
      <c r="J9" s="517">
        <v>137502.96952000001</v>
      </c>
      <c r="K9" s="514">
        <v>35.9</v>
      </c>
    </row>
    <row r="10" spans="1:11" x14ac:dyDescent="0.25">
      <c r="A10" s="514" t="s">
        <v>684</v>
      </c>
      <c r="B10" s="514">
        <v>3</v>
      </c>
      <c r="C10" s="514" t="s">
        <v>1009</v>
      </c>
      <c r="D10" s="517">
        <v>20872.460000000003</v>
      </c>
      <c r="E10" s="517">
        <v>25703.86</v>
      </c>
      <c r="F10" s="517">
        <v>31586.800000000003</v>
      </c>
      <c r="G10" s="517">
        <v>38807.51</v>
      </c>
      <c r="H10" s="517">
        <v>48316.030000000006</v>
      </c>
      <c r="I10" s="517">
        <v>60069.73</v>
      </c>
      <c r="J10" s="517">
        <v>74888.73000000001</v>
      </c>
      <c r="K10" s="514">
        <v>28.5</v>
      </c>
    </row>
    <row r="11" spans="1:11" x14ac:dyDescent="0.25">
      <c r="A11" s="514" t="s">
        <v>685</v>
      </c>
      <c r="B11" s="514">
        <v>3</v>
      </c>
      <c r="C11" s="514" t="s">
        <v>1010</v>
      </c>
      <c r="D11" s="517"/>
      <c r="E11" s="517"/>
      <c r="F11" s="517"/>
      <c r="G11" s="517"/>
      <c r="H11" s="517"/>
      <c r="I11" s="517"/>
      <c r="J11" s="517"/>
      <c r="K11" s="514">
        <v>50.1</v>
      </c>
    </row>
    <row r="12" spans="1:11" x14ac:dyDescent="0.25">
      <c r="A12" s="514" t="s">
        <v>686</v>
      </c>
      <c r="B12" s="514">
        <v>3</v>
      </c>
      <c r="C12" s="514" t="s">
        <v>1011</v>
      </c>
      <c r="D12" s="517">
        <v>30772.664220000002</v>
      </c>
      <c r="E12" s="517">
        <v>37137.312819999999</v>
      </c>
      <c r="F12" s="517">
        <v>44964.889430000003</v>
      </c>
      <c r="G12" s="517">
        <v>49606.612359999999</v>
      </c>
      <c r="H12" s="517">
        <v>62758.258700000006</v>
      </c>
      <c r="I12" s="517">
        <v>81595.147989999998</v>
      </c>
      <c r="J12" s="517">
        <v>106020.81051000001</v>
      </c>
      <c r="K12" s="514">
        <v>30.2</v>
      </c>
    </row>
    <row r="13" spans="1:11" x14ac:dyDescent="0.25">
      <c r="A13" s="514" t="s">
        <v>687</v>
      </c>
      <c r="B13" s="514">
        <v>3</v>
      </c>
      <c r="C13" s="514" t="s">
        <v>1012</v>
      </c>
      <c r="D13" s="517">
        <v>54072</v>
      </c>
      <c r="E13" s="517">
        <v>65578</v>
      </c>
      <c r="F13" s="517">
        <v>79582</v>
      </c>
      <c r="G13" s="517">
        <v>86108.5</v>
      </c>
      <c r="H13" s="517">
        <v>95283.5</v>
      </c>
      <c r="I13" s="517">
        <v>105374</v>
      </c>
      <c r="J13" s="517" t="e">
        <v>#N/A</v>
      </c>
      <c r="K13" s="514">
        <v>70.400000000000006</v>
      </c>
    </row>
    <row r="14" spans="1:11" x14ac:dyDescent="0.25">
      <c r="A14" s="514" t="s">
        <v>688</v>
      </c>
      <c r="B14" s="514">
        <v>3</v>
      </c>
      <c r="C14" s="514" t="s">
        <v>1013</v>
      </c>
      <c r="D14" s="517">
        <v>23862</v>
      </c>
      <c r="E14" s="517">
        <v>28347</v>
      </c>
      <c r="F14" s="517">
        <v>33635</v>
      </c>
      <c r="G14" s="517">
        <v>43601</v>
      </c>
      <c r="H14" s="517">
        <v>53788</v>
      </c>
      <c r="I14" s="517">
        <v>67875</v>
      </c>
      <c r="J14" s="517">
        <v>85910</v>
      </c>
      <c r="K14" s="514">
        <v>33.5</v>
      </c>
    </row>
    <row r="15" spans="1:11" x14ac:dyDescent="0.25">
      <c r="A15" s="514" t="s">
        <v>689</v>
      </c>
      <c r="B15" s="514">
        <v>2</v>
      </c>
      <c r="C15" s="514" t="s">
        <v>971</v>
      </c>
      <c r="D15" s="517">
        <v>23883.476119999999</v>
      </c>
      <c r="E15" s="517">
        <v>27619.050640000001</v>
      </c>
      <c r="F15" s="517">
        <v>31911.049360000001</v>
      </c>
      <c r="G15" s="517">
        <v>44818.632920000004</v>
      </c>
      <c r="H15" s="517">
        <v>51937.460959999997</v>
      </c>
      <c r="I15" s="517">
        <v>60252.722520000003</v>
      </c>
      <c r="J15" s="517">
        <v>70347.083639999997</v>
      </c>
      <c r="K15" s="514">
        <v>30.1</v>
      </c>
    </row>
    <row r="16" spans="1:11" x14ac:dyDescent="0.25">
      <c r="A16" s="514" t="s">
        <v>690</v>
      </c>
      <c r="B16" s="514">
        <v>3</v>
      </c>
      <c r="C16" s="514" t="s">
        <v>1014</v>
      </c>
      <c r="D16" s="517">
        <v>21990.895</v>
      </c>
      <c r="E16" s="517">
        <v>27966.314999999999</v>
      </c>
      <c r="F16" s="517">
        <v>34909.67</v>
      </c>
      <c r="G16" s="517">
        <v>41566.71</v>
      </c>
      <c r="H16" s="517">
        <v>53967.35</v>
      </c>
      <c r="I16" s="517">
        <v>69516.59</v>
      </c>
      <c r="J16" s="517">
        <v>76914.069999999992</v>
      </c>
      <c r="K16" s="514">
        <v>44.1</v>
      </c>
    </row>
    <row r="17" spans="1:11" x14ac:dyDescent="0.25">
      <c r="A17" s="514" t="s">
        <v>691</v>
      </c>
      <c r="B17" s="514">
        <v>3</v>
      </c>
      <c r="C17" s="514" t="s">
        <v>1015</v>
      </c>
      <c r="D17" s="517">
        <v>11183.81869</v>
      </c>
      <c r="E17" s="517">
        <v>13196.905920000001</v>
      </c>
      <c r="F17" s="517">
        <v>15308.40201</v>
      </c>
      <c r="G17" s="517">
        <v>16290.605099999999</v>
      </c>
      <c r="H17" s="517">
        <v>18416.507559999998</v>
      </c>
      <c r="I17" s="517">
        <v>21321.226299999998</v>
      </c>
      <c r="J17" s="517">
        <v>24661.625339999999</v>
      </c>
      <c r="K17" s="514">
        <v>32.9</v>
      </c>
    </row>
    <row r="18" spans="1:11" x14ac:dyDescent="0.25">
      <c r="A18" s="514" t="s">
        <v>692</v>
      </c>
      <c r="B18" s="514">
        <v>3</v>
      </c>
      <c r="C18" s="514" t="s">
        <v>972</v>
      </c>
      <c r="D18" s="517">
        <v>34234.608240000001</v>
      </c>
      <c r="E18" s="517">
        <v>42142.922710000006</v>
      </c>
      <c r="F18" s="517">
        <v>55086.720360000007</v>
      </c>
      <c r="G18" s="517">
        <v>79637.42416000001</v>
      </c>
      <c r="H18" s="517">
        <v>100070.92655</v>
      </c>
      <c r="I18" s="517">
        <v>125407.63767000001</v>
      </c>
      <c r="J18" s="517">
        <v>156825.43674</v>
      </c>
      <c r="K18" s="514">
        <v>26.6</v>
      </c>
    </row>
    <row r="19" spans="1:11" x14ac:dyDescent="0.25">
      <c r="A19" s="514" t="s">
        <v>693</v>
      </c>
      <c r="B19" s="514">
        <v>3</v>
      </c>
      <c r="C19" s="514" t="s">
        <v>973</v>
      </c>
      <c r="D19" s="517">
        <v>34546.017339999999</v>
      </c>
      <c r="E19" s="517">
        <v>38814.910609999999</v>
      </c>
      <c r="F19" s="517">
        <v>43758.327230000003</v>
      </c>
      <c r="G19" s="517">
        <v>49835.985260000001</v>
      </c>
      <c r="H19" s="517">
        <v>56146.976260000003</v>
      </c>
      <c r="I19" s="517">
        <v>63406.93187</v>
      </c>
      <c r="J19" s="517">
        <v>71893.767290000003</v>
      </c>
      <c r="K19" s="514">
        <v>25.4</v>
      </c>
    </row>
    <row r="20" spans="1:11" x14ac:dyDescent="0.25">
      <c r="A20" s="514" t="s">
        <v>694</v>
      </c>
      <c r="B20" s="514">
        <v>3</v>
      </c>
      <c r="C20" s="514" t="s">
        <v>974</v>
      </c>
      <c r="D20" s="517">
        <v>24959.345840000002</v>
      </c>
      <c r="E20" s="517">
        <v>31685.65972</v>
      </c>
      <c r="F20" s="517">
        <v>39009.481939999998</v>
      </c>
      <c r="G20" s="517">
        <v>48906.251680000001</v>
      </c>
      <c r="H20" s="517">
        <v>61450.63639</v>
      </c>
      <c r="I20" s="517">
        <v>79220.8989</v>
      </c>
      <c r="J20" s="517">
        <v>101945.19907</v>
      </c>
      <c r="K20" s="514">
        <v>27.1</v>
      </c>
    </row>
    <row r="21" spans="1:11" x14ac:dyDescent="0.25">
      <c r="A21" s="514" t="s">
        <v>695</v>
      </c>
      <c r="B21" s="514">
        <v>3</v>
      </c>
      <c r="C21" s="514" t="s">
        <v>1016</v>
      </c>
      <c r="D21" s="517">
        <v>38933.929650000005</v>
      </c>
      <c r="E21" s="517">
        <v>47274.011400000003</v>
      </c>
      <c r="F21" s="517">
        <v>57387.838199999998</v>
      </c>
      <c r="G21" s="517">
        <v>59055.323250000001</v>
      </c>
      <c r="H21" s="517">
        <v>76115.631900000008</v>
      </c>
      <c r="I21" s="517">
        <v>96989.877600000007</v>
      </c>
      <c r="J21" s="517">
        <v>123290.99859999999</v>
      </c>
      <c r="K21" s="514">
        <v>27.5</v>
      </c>
    </row>
    <row r="22" spans="1:11" x14ac:dyDescent="0.25">
      <c r="A22" s="514" t="s">
        <v>696</v>
      </c>
      <c r="B22" s="514">
        <v>3</v>
      </c>
      <c r="C22" s="514" t="s">
        <v>1004</v>
      </c>
      <c r="D22" s="517">
        <v>42153</v>
      </c>
      <c r="E22" s="517">
        <v>51573</v>
      </c>
      <c r="F22" s="517">
        <v>63037</v>
      </c>
      <c r="G22" s="517">
        <v>63567</v>
      </c>
      <c r="H22" s="517">
        <v>83041</v>
      </c>
      <c r="I22" s="517">
        <v>102154.5</v>
      </c>
      <c r="J22" s="517">
        <v>121510</v>
      </c>
      <c r="K22" s="514">
        <v>49.6</v>
      </c>
    </row>
    <row r="23" spans="1:11" x14ac:dyDescent="0.25">
      <c r="A23" s="514" t="s">
        <v>697</v>
      </c>
      <c r="B23" s="514">
        <v>3</v>
      </c>
      <c r="C23" s="514" t="s">
        <v>1017</v>
      </c>
      <c r="D23" s="517">
        <v>19771.929510000002</v>
      </c>
      <c r="E23" s="517">
        <v>23508.730970000001</v>
      </c>
      <c r="F23" s="517">
        <v>27928.161639999998</v>
      </c>
      <c r="G23" s="517">
        <v>45373.130340000003</v>
      </c>
      <c r="H23" s="517">
        <v>55948.96168</v>
      </c>
      <c r="I23" s="517">
        <v>69100.719530000002</v>
      </c>
      <c r="J23" s="517">
        <v>83862.069579999996</v>
      </c>
      <c r="K23" s="514">
        <v>21.7</v>
      </c>
    </row>
    <row r="24" spans="1:11" x14ac:dyDescent="0.25">
      <c r="A24" s="514" t="s">
        <v>698</v>
      </c>
      <c r="B24" s="514">
        <v>1</v>
      </c>
      <c r="C24" s="514" t="s">
        <v>1014</v>
      </c>
      <c r="D24" s="517">
        <v>31571.635000000002</v>
      </c>
      <c r="E24" s="517">
        <v>39073.78</v>
      </c>
      <c r="F24" s="517">
        <v>46542.19</v>
      </c>
      <c r="G24" s="517">
        <v>47694.37</v>
      </c>
      <c r="H24" s="517">
        <v>58281.97</v>
      </c>
      <c r="I24" s="517">
        <v>71210.259999999995</v>
      </c>
      <c r="J24" s="517">
        <v>91615.61</v>
      </c>
      <c r="K24" s="514">
        <v>36</v>
      </c>
    </row>
    <row r="25" spans="1:11" x14ac:dyDescent="0.25">
      <c r="A25" s="514" t="s">
        <v>699</v>
      </c>
      <c r="B25" s="514">
        <v>1</v>
      </c>
      <c r="C25" s="514" t="s">
        <v>1018</v>
      </c>
      <c r="D25" s="517">
        <v>18866.47</v>
      </c>
      <c r="E25" s="517">
        <v>25351.129999999997</v>
      </c>
      <c r="F25" s="517">
        <v>31375.68</v>
      </c>
      <c r="G25" s="517">
        <v>30525.53</v>
      </c>
      <c r="H25" s="517">
        <v>33674.269999999997</v>
      </c>
      <c r="I25" s="517">
        <v>37247.839999999997</v>
      </c>
      <c r="J25" s="517">
        <v>41203.61</v>
      </c>
      <c r="K25" s="514">
        <v>41.6</v>
      </c>
    </row>
    <row r="26" spans="1:11" x14ac:dyDescent="0.25">
      <c r="A26" s="514" t="s">
        <v>700</v>
      </c>
      <c r="B26" s="514">
        <v>3</v>
      </c>
      <c r="C26" s="514" t="s">
        <v>1019</v>
      </c>
      <c r="D26" s="517"/>
      <c r="E26" s="517"/>
      <c r="F26" s="517"/>
      <c r="G26" s="517"/>
      <c r="H26" s="517"/>
      <c r="I26" s="517"/>
      <c r="J26" s="517"/>
      <c r="K26" s="514">
        <v>28.6</v>
      </c>
    </row>
    <row r="27" spans="1:11" x14ac:dyDescent="0.25">
      <c r="A27" s="514" t="s">
        <v>701</v>
      </c>
      <c r="B27" s="514">
        <v>2</v>
      </c>
      <c r="C27" s="514" t="s">
        <v>975</v>
      </c>
      <c r="D27" s="517"/>
      <c r="E27" s="517"/>
      <c r="F27" s="517"/>
      <c r="G27" s="517"/>
      <c r="H27" s="517"/>
      <c r="I27" s="517"/>
      <c r="J27" s="517"/>
      <c r="K27" s="514">
        <v>37.5</v>
      </c>
    </row>
    <row r="28" spans="1:11" x14ac:dyDescent="0.25">
      <c r="A28" s="514" t="s">
        <v>702</v>
      </c>
      <c r="B28" s="514">
        <v>2</v>
      </c>
      <c r="C28" s="514" t="s">
        <v>1014</v>
      </c>
      <c r="D28" s="517"/>
      <c r="E28" s="517"/>
      <c r="F28" s="517"/>
      <c r="G28" s="517"/>
      <c r="H28" s="517"/>
      <c r="I28" s="517"/>
      <c r="J28" s="517"/>
      <c r="K28" s="514">
        <v>35.1</v>
      </c>
    </row>
    <row r="29" spans="1:11" x14ac:dyDescent="0.25">
      <c r="A29" s="514" t="s">
        <v>703</v>
      </c>
      <c r="B29" s="514">
        <v>3</v>
      </c>
      <c r="C29" s="514" t="s">
        <v>976</v>
      </c>
      <c r="D29" s="517"/>
      <c r="E29" s="517"/>
      <c r="F29" s="517"/>
      <c r="G29" s="517"/>
      <c r="H29" s="517"/>
      <c r="I29" s="517"/>
      <c r="J29" s="517"/>
      <c r="K29" s="514">
        <v>45.1</v>
      </c>
    </row>
    <row r="30" spans="1:11" x14ac:dyDescent="0.25">
      <c r="A30" s="514" t="s">
        <v>704</v>
      </c>
      <c r="B30" s="514">
        <v>2</v>
      </c>
      <c r="C30" s="514" t="s">
        <v>1014</v>
      </c>
      <c r="D30" s="517"/>
      <c r="E30" s="517"/>
      <c r="F30" s="517"/>
      <c r="G30" s="517"/>
      <c r="H30" s="517"/>
      <c r="I30" s="517"/>
      <c r="J30" s="517"/>
      <c r="K30" s="514">
        <v>63.7</v>
      </c>
    </row>
    <row r="31" spans="1:11" x14ac:dyDescent="0.25">
      <c r="A31" s="514" t="s">
        <v>705</v>
      </c>
      <c r="B31" s="514">
        <v>1</v>
      </c>
      <c r="C31" s="514" t="s">
        <v>1014</v>
      </c>
      <c r="D31" s="517"/>
      <c r="E31" s="517"/>
      <c r="F31" s="517"/>
      <c r="G31" s="517"/>
      <c r="H31" s="517"/>
      <c r="I31" s="517"/>
      <c r="J31" s="517"/>
      <c r="K31" s="514">
        <v>57.2</v>
      </c>
    </row>
    <row r="32" spans="1:11" x14ac:dyDescent="0.25">
      <c r="A32" s="514" t="s">
        <v>706</v>
      </c>
      <c r="B32" s="514">
        <v>3</v>
      </c>
      <c r="C32" s="514" t="s">
        <v>1020</v>
      </c>
      <c r="D32" s="517"/>
      <c r="E32" s="517"/>
      <c r="F32" s="517"/>
      <c r="G32" s="517"/>
      <c r="H32" s="517"/>
      <c r="I32" s="517"/>
      <c r="J32" s="517"/>
      <c r="K32" s="514">
        <v>39.9</v>
      </c>
    </row>
    <row r="33" spans="1:11" x14ac:dyDescent="0.25">
      <c r="A33" s="514" t="s">
        <v>707</v>
      </c>
      <c r="B33" s="514">
        <v>3</v>
      </c>
      <c r="C33" s="514" t="s">
        <v>977</v>
      </c>
      <c r="D33" s="517"/>
      <c r="E33" s="517"/>
      <c r="F33" s="517"/>
      <c r="G33" s="517"/>
      <c r="H33" s="517"/>
      <c r="I33" s="517"/>
      <c r="J33" s="517"/>
      <c r="K33" s="514">
        <v>67.8</v>
      </c>
    </row>
    <row r="34" spans="1:11" x14ac:dyDescent="0.25">
      <c r="A34" s="514" t="s">
        <v>708</v>
      </c>
      <c r="B34" s="514">
        <v>3</v>
      </c>
      <c r="C34" s="514" t="s">
        <v>1021</v>
      </c>
      <c r="D34" s="517"/>
      <c r="E34" s="517"/>
      <c r="F34" s="517"/>
      <c r="G34" s="517"/>
      <c r="H34" s="517"/>
      <c r="I34" s="517"/>
      <c r="J34" s="517"/>
      <c r="K34" s="514">
        <v>27.7</v>
      </c>
    </row>
    <row r="35" spans="1:11" x14ac:dyDescent="0.25">
      <c r="A35" s="514" t="s">
        <v>709</v>
      </c>
      <c r="B35" s="514">
        <v>2</v>
      </c>
      <c r="C35" s="514" t="s">
        <v>1022</v>
      </c>
      <c r="D35" s="517"/>
      <c r="E35" s="517"/>
      <c r="F35" s="517"/>
      <c r="G35" s="517"/>
      <c r="H35" s="517"/>
      <c r="I35" s="517"/>
      <c r="J35" s="517"/>
      <c r="K35" s="514">
        <v>47.8</v>
      </c>
    </row>
    <row r="36" spans="1:11" x14ac:dyDescent="0.25">
      <c r="A36" s="514" t="s">
        <v>710</v>
      </c>
      <c r="B36" s="514">
        <v>2</v>
      </c>
      <c r="C36" s="514" t="s">
        <v>1023</v>
      </c>
      <c r="D36" s="517"/>
      <c r="E36" s="517"/>
      <c r="F36" s="517"/>
      <c r="G36" s="517"/>
      <c r="H36" s="517"/>
      <c r="I36" s="517"/>
      <c r="J36" s="517"/>
      <c r="K36" s="514">
        <v>53</v>
      </c>
    </row>
    <row r="37" spans="1:11" x14ac:dyDescent="0.25">
      <c r="A37" s="514" t="s">
        <v>711</v>
      </c>
      <c r="B37" s="514">
        <v>2</v>
      </c>
      <c r="C37" s="514" t="s">
        <v>1014</v>
      </c>
      <c r="D37" s="517"/>
      <c r="E37" s="517"/>
      <c r="F37" s="517"/>
      <c r="G37" s="517"/>
      <c r="H37" s="517"/>
      <c r="I37" s="517"/>
      <c r="J37" s="517"/>
      <c r="K37" s="514">
        <v>65</v>
      </c>
    </row>
    <row r="38" spans="1:11" x14ac:dyDescent="0.25">
      <c r="A38" s="514" t="s">
        <v>712</v>
      </c>
      <c r="B38" s="514">
        <v>3</v>
      </c>
      <c r="C38" s="514" t="s">
        <v>1024</v>
      </c>
      <c r="D38" s="517"/>
      <c r="E38" s="517"/>
      <c r="F38" s="517"/>
      <c r="G38" s="517"/>
      <c r="H38" s="517"/>
      <c r="I38" s="517"/>
      <c r="J38" s="517"/>
      <c r="K38" s="514">
        <v>33.5</v>
      </c>
    </row>
    <row r="39" spans="1:11" x14ac:dyDescent="0.25">
      <c r="A39" s="514" t="s">
        <v>713</v>
      </c>
      <c r="B39" s="514">
        <v>2</v>
      </c>
      <c r="C39" s="514" t="s">
        <v>1014</v>
      </c>
      <c r="D39" s="517"/>
      <c r="E39" s="517"/>
      <c r="F39" s="517"/>
      <c r="G39" s="517"/>
      <c r="H39" s="517"/>
      <c r="I39" s="517"/>
      <c r="J39" s="517"/>
      <c r="K39" s="514">
        <v>43.6</v>
      </c>
    </row>
    <row r="40" spans="1:11" x14ac:dyDescent="0.25">
      <c r="A40" s="514" t="s">
        <v>714</v>
      </c>
      <c r="B40" s="514">
        <v>3</v>
      </c>
      <c r="C40" s="514" t="s">
        <v>1025</v>
      </c>
      <c r="D40" s="517"/>
      <c r="E40" s="517"/>
      <c r="F40" s="517"/>
      <c r="G40" s="517"/>
      <c r="H40" s="517"/>
      <c r="I40" s="517"/>
      <c r="J40" s="517"/>
      <c r="K40" s="514">
        <v>45.7</v>
      </c>
    </row>
    <row r="41" spans="1:11" x14ac:dyDescent="0.25">
      <c r="A41" s="514" t="s">
        <v>715</v>
      </c>
      <c r="B41" s="514">
        <v>3</v>
      </c>
      <c r="C41" s="514" t="s">
        <v>1026</v>
      </c>
      <c r="D41" s="517"/>
      <c r="E41" s="517"/>
      <c r="F41" s="517"/>
      <c r="G41" s="517"/>
      <c r="H41" s="517"/>
      <c r="I41" s="517"/>
      <c r="J41" s="517"/>
      <c r="K41" s="514">
        <v>56.9</v>
      </c>
    </row>
    <row r="42" spans="1:11" x14ac:dyDescent="0.25">
      <c r="A42" s="514" t="s">
        <v>716</v>
      </c>
      <c r="B42" s="514">
        <v>3</v>
      </c>
      <c r="C42" s="514" t="s">
        <v>1027</v>
      </c>
      <c r="D42" s="517"/>
      <c r="E42" s="517"/>
      <c r="F42" s="517"/>
      <c r="G42" s="517"/>
      <c r="H42" s="517"/>
      <c r="I42" s="517"/>
      <c r="J42" s="517"/>
      <c r="K42" s="514"/>
    </row>
    <row r="43" spans="1:11" x14ac:dyDescent="0.25">
      <c r="A43" s="514" t="s">
        <v>717</v>
      </c>
      <c r="B43" s="514">
        <v>3</v>
      </c>
      <c r="C43" s="514" t="s">
        <v>1028</v>
      </c>
      <c r="D43" s="517"/>
      <c r="E43" s="517"/>
      <c r="F43" s="517"/>
      <c r="G43" s="517"/>
      <c r="H43" s="517"/>
      <c r="I43" s="517"/>
      <c r="J43" s="517"/>
      <c r="K43" s="514">
        <v>49.9</v>
      </c>
    </row>
    <row r="44" spans="1:11" x14ac:dyDescent="0.25">
      <c r="A44" s="514" t="s">
        <v>718</v>
      </c>
      <c r="B44" s="514">
        <v>3</v>
      </c>
      <c r="C44" s="514" t="s">
        <v>1006</v>
      </c>
      <c r="D44" s="517"/>
      <c r="E44" s="517"/>
      <c r="F44" s="517"/>
      <c r="G44" s="517"/>
      <c r="H44" s="517"/>
      <c r="I44" s="517"/>
      <c r="J44" s="517"/>
      <c r="K44" s="514">
        <v>49.7</v>
      </c>
    </row>
    <row r="45" spans="1:11" x14ac:dyDescent="0.25">
      <c r="A45" s="514" t="s">
        <v>719</v>
      </c>
      <c r="B45" s="514">
        <v>3</v>
      </c>
      <c r="C45" s="514" t="s">
        <v>1029</v>
      </c>
      <c r="D45" s="517"/>
      <c r="E45" s="517"/>
      <c r="F45" s="517"/>
      <c r="G45" s="517"/>
      <c r="H45" s="517"/>
      <c r="I45" s="517"/>
      <c r="J45" s="517"/>
      <c r="K45" s="514">
        <v>28.8</v>
      </c>
    </row>
    <row r="46" spans="1:11" x14ac:dyDescent="0.25">
      <c r="A46" s="514" t="s">
        <v>720</v>
      </c>
      <c r="B46" s="514">
        <v>3</v>
      </c>
      <c r="C46" s="514" t="s">
        <v>1004</v>
      </c>
      <c r="D46" s="517"/>
      <c r="E46" s="517"/>
      <c r="F46" s="517"/>
      <c r="G46" s="517"/>
      <c r="H46" s="517"/>
      <c r="I46" s="517"/>
      <c r="J46" s="517"/>
      <c r="K46" s="514">
        <v>33.9</v>
      </c>
    </row>
    <row r="47" spans="1:11" x14ac:dyDescent="0.25">
      <c r="A47" s="514" t="s">
        <v>721</v>
      </c>
      <c r="B47" s="514">
        <v>3</v>
      </c>
      <c r="C47" s="514" t="s">
        <v>1030</v>
      </c>
      <c r="D47" s="517"/>
      <c r="E47" s="517"/>
      <c r="F47" s="517"/>
      <c r="G47" s="517"/>
      <c r="H47" s="517"/>
      <c r="I47" s="517"/>
      <c r="J47" s="517"/>
      <c r="K47" s="514">
        <v>30.6</v>
      </c>
    </row>
    <row r="48" spans="1:11" x14ac:dyDescent="0.25">
      <c r="A48" s="514" t="s">
        <v>722</v>
      </c>
      <c r="B48" s="514">
        <v>3</v>
      </c>
      <c r="C48" s="514" t="s">
        <v>1004</v>
      </c>
      <c r="D48" s="517"/>
      <c r="E48" s="517"/>
      <c r="F48" s="517"/>
      <c r="G48" s="517"/>
      <c r="H48" s="517"/>
      <c r="I48" s="517"/>
      <c r="J48" s="517"/>
      <c r="K48" s="514">
        <v>26.3</v>
      </c>
    </row>
    <row r="49" spans="1:11" x14ac:dyDescent="0.25">
      <c r="A49" s="514" t="s">
        <v>723</v>
      </c>
      <c r="B49" s="514">
        <v>3</v>
      </c>
      <c r="C49" s="514" t="s">
        <v>1014</v>
      </c>
      <c r="D49" s="517"/>
      <c r="E49" s="517"/>
      <c r="F49" s="517"/>
      <c r="G49" s="517"/>
      <c r="H49" s="517"/>
      <c r="I49" s="517"/>
      <c r="J49" s="517"/>
      <c r="K49" s="514">
        <v>39.4</v>
      </c>
    </row>
    <row r="50" spans="1:11" x14ac:dyDescent="0.25">
      <c r="A50" s="514" t="s">
        <v>724</v>
      </c>
      <c r="B50" s="514">
        <v>2</v>
      </c>
      <c r="C50" s="514" t="s">
        <v>1031</v>
      </c>
      <c r="D50" s="517"/>
      <c r="E50" s="517"/>
      <c r="F50" s="517"/>
      <c r="G50" s="517"/>
      <c r="H50" s="517"/>
      <c r="I50" s="517"/>
      <c r="J50" s="517"/>
      <c r="K50" s="514">
        <v>52</v>
      </c>
    </row>
    <row r="51" spans="1:11" x14ac:dyDescent="0.25">
      <c r="A51" s="514" t="s">
        <v>725</v>
      </c>
      <c r="B51" s="514">
        <v>2</v>
      </c>
      <c r="C51" s="514" t="s">
        <v>1032</v>
      </c>
      <c r="D51" s="517"/>
      <c r="E51" s="517"/>
      <c r="F51" s="517"/>
      <c r="G51" s="517"/>
      <c r="H51" s="517"/>
      <c r="I51" s="517"/>
      <c r="J51" s="517"/>
      <c r="K51" s="514">
        <v>18.7</v>
      </c>
    </row>
    <row r="52" spans="1:11" x14ac:dyDescent="0.25">
      <c r="A52" s="514" t="s">
        <v>54</v>
      </c>
      <c r="B52" s="514">
        <v>3</v>
      </c>
      <c r="C52" s="514" t="s">
        <v>1033</v>
      </c>
      <c r="D52" s="517"/>
      <c r="E52" s="517"/>
      <c r="F52" s="517"/>
      <c r="G52" s="517"/>
      <c r="H52" s="517"/>
      <c r="I52" s="517"/>
      <c r="J52" s="517"/>
      <c r="K52" s="514">
        <v>40.6</v>
      </c>
    </row>
    <row r="53" spans="1:11" x14ac:dyDescent="0.25">
      <c r="A53" s="514" t="s">
        <v>726</v>
      </c>
      <c r="B53" s="514">
        <v>3</v>
      </c>
      <c r="C53" s="514" t="s">
        <v>978</v>
      </c>
      <c r="D53" s="517"/>
      <c r="E53" s="517"/>
      <c r="F53" s="517"/>
      <c r="G53" s="517"/>
      <c r="H53" s="517"/>
      <c r="I53" s="517"/>
      <c r="J53" s="517"/>
      <c r="K53" s="514">
        <v>38.9</v>
      </c>
    </row>
    <row r="54" spans="1:11" x14ac:dyDescent="0.25">
      <c r="A54" s="514" t="s">
        <v>727</v>
      </c>
      <c r="B54" s="514">
        <v>2</v>
      </c>
      <c r="C54" s="514" t="s">
        <v>1014</v>
      </c>
      <c r="D54" s="517"/>
      <c r="E54" s="517"/>
      <c r="F54" s="517"/>
      <c r="G54" s="517"/>
      <c r="H54" s="517"/>
      <c r="I54" s="517"/>
      <c r="J54" s="517"/>
      <c r="K54" s="514">
        <v>62.5</v>
      </c>
    </row>
    <row r="55" spans="1:11" x14ac:dyDescent="0.25">
      <c r="A55" s="514" t="s">
        <v>728</v>
      </c>
      <c r="B55" s="514">
        <v>2</v>
      </c>
      <c r="C55" s="514" t="s">
        <v>1034</v>
      </c>
      <c r="D55" s="517"/>
      <c r="E55" s="517"/>
      <c r="F55" s="517"/>
      <c r="G55" s="517"/>
      <c r="H55" s="517"/>
      <c r="I55" s="517"/>
      <c r="J55" s="517"/>
      <c r="K55" s="514">
        <v>36.9</v>
      </c>
    </row>
    <row r="56" spans="1:11" x14ac:dyDescent="0.25">
      <c r="A56" s="514" t="s">
        <v>729</v>
      </c>
      <c r="B56" s="514">
        <v>3</v>
      </c>
      <c r="C56" s="514" t="s">
        <v>1035</v>
      </c>
      <c r="D56" s="517"/>
      <c r="E56" s="517"/>
      <c r="F56" s="517"/>
      <c r="G56" s="517"/>
      <c r="H56" s="517"/>
      <c r="I56" s="517"/>
      <c r="J56" s="517"/>
      <c r="K56" s="514">
        <v>20.3</v>
      </c>
    </row>
    <row r="57" spans="1:11" x14ac:dyDescent="0.25">
      <c r="A57" s="514" t="s">
        <v>730</v>
      </c>
      <c r="B57" s="514">
        <v>3</v>
      </c>
      <c r="C57" s="514" t="s">
        <v>980</v>
      </c>
      <c r="D57" s="517"/>
      <c r="E57" s="517"/>
      <c r="F57" s="517"/>
      <c r="G57" s="517"/>
      <c r="H57" s="517"/>
      <c r="I57" s="517"/>
      <c r="J57" s="517"/>
      <c r="K57" s="514">
        <v>45.1</v>
      </c>
    </row>
    <row r="58" spans="1:11" x14ac:dyDescent="0.25">
      <c r="A58" s="514" t="s">
        <v>731</v>
      </c>
      <c r="B58" s="514">
        <v>3</v>
      </c>
      <c r="C58" s="514" t="s">
        <v>1036</v>
      </c>
      <c r="D58" s="517"/>
      <c r="E58" s="517"/>
      <c r="F58" s="517"/>
      <c r="G58" s="517"/>
      <c r="H58" s="517"/>
      <c r="I58" s="517"/>
      <c r="J58" s="517"/>
      <c r="K58" s="514">
        <v>30.2</v>
      </c>
    </row>
    <row r="59" spans="1:11" x14ac:dyDescent="0.25">
      <c r="A59" s="514" t="s">
        <v>732</v>
      </c>
      <c r="B59" s="514">
        <v>3</v>
      </c>
      <c r="C59" s="514" t="s">
        <v>1006</v>
      </c>
      <c r="D59" s="517"/>
      <c r="E59" s="517"/>
      <c r="F59" s="517"/>
      <c r="G59" s="517"/>
      <c r="H59" s="517"/>
      <c r="I59" s="517"/>
      <c r="J59" s="517"/>
      <c r="K59" s="514">
        <v>49.7</v>
      </c>
    </row>
    <row r="60" spans="1:11" x14ac:dyDescent="0.25">
      <c r="A60" s="514" t="s">
        <v>733</v>
      </c>
      <c r="B60" s="514">
        <v>2</v>
      </c>
      <c r="C60" s="514" t="s">
        <v>981</v>
      </c>
      <c r="D60" s="517"/>
      <c r="E60" s="517"/>
      <c r="F60" s="517"/>
      <c r="G60" s="517"/>
      <c r="H60" s="517"/>
      <c r="I60" s="517"/>
      <c r="J60" s="517"/>
      <c r="K60" s="514">
        <v>34.700000000000003</v>
      </c>
    </row>
    <row r="61" spans="1:11" x14ac:dyDescent="0.25">
      <c r="A61" s="514" t="s">
        <v>734</v>
      </c>
      <c r="B61" s="514">
        <v>1</v>
      </c>
      <c r="C61" s="514" t="s">
        <v>1037</v>
      </c>
      <c r="D61" s="517"/>
      <c r="E61" s="517"/>
      <c r="F61" s="517"/>
      <c r="G61" s="517"/>
      <c r="H61" s="517"/>
      <c r="I61" s="517"/>
      <c r="J61" s="517"/>
      <c r="K61" s="514">
        <v>42.9</v>
      </c>
    </row>
    <row r="62" spans="1:11" x14ac:dyDescent="0.25">
      <c r="A62" s="514" t="s">
        <v>735</v>
      </c>
      <c r="B62" s="514">
        <v>2</v>
      </c>
      <c r="C62" s="514" t="s">
        <v>1014</v>
      </c>
      <c r="D62" s="517"/>
      <c r="E62" s="517"/>
      <c r="F62" s="517"/>
      <c r="G62" s="517"/>
      <c r="H62" s="517"/>
      <c r="I62" s="517"/>
      <c r="J62" s="517"/>
      <c r="K62" s="514">
        <v>34.299999999999997</v>
      </c>
    </row>
    <row r="63" spans="1:11" x14ac:dyDescent="0.25">
      <c r="A63" s="514" t="s">
        <v>736</v>
      </c>
      <c r="B63" s="514">
        <v>3</v>
      </c>
      <c r="C63" s="514" t="s">
        <v>979</v>
      </c>
      <c r="D63" s="517"/>
      <c r="E63" s="517"/>
      <c r="F63" s="517"/>
      <c r="G63" s="517"/>
      <c r="H63" s="517"/>
      <c r="I63" s="517"/>
      <c r="J63" s="517"/>
      <c r="K63" s="514">
        <v>45.5</v>
      </c>
    </row>
    <row r="64" spans="1:11" x14ac:dyDescent="0.25">
      <c r="A64" s="514" t="s">
        <v>737</v>
      </c>
      <c r="B64" s="514">
        <v>1</v>
      </c>
      <c r="C64" s="514" t="s">
        <v>1038</v>
      </c>
      <c r="D64" s="517"/>
      <c r="E64" s="517"/>
      <c r="F64" s="517"/>
      <c r="G64" s="517"/>
      <c r="H64" s="517"/>
      <c r="I64" s="517"/>
      <c r="J64" s="517"/>
      <c r="K64" s="514">
        <v>73</v>
      </c>
    </row>
    <row r="65" spans="1:11" x14ac:dyDescent="0.25">
      <c r="A65" s="514" t="s">
        <v>738</v>
      </c>
      <c r="B65" s="514">
        <v>2</v>
      </c>
      <c r="C65" s="514" t="s">
        <v>982</v>
      </c>
      <c r="D65" s="517"/>
      <c r="E65" s="517"/>
      <c r="F65" s="517"/>
      <c r="G65" s="517"/>
      <c r="H65" s="517"/>
      <c r="I65" s="517"/>
      <c r="J65" s="517"/>
      <c r="K65" s="514">
        <v>35</v>
      </c>
    </row>
    <row r="66" spans="1:11" x14ac:dyDescent="0.25">
      <c r="A66" s="514" t="s">
        <v>739</v>
      </c>
      <c r="B66" s="514">
        <v>3</v>
      </c>
      <c r="C66" s="514" t="s">
        <v>983</v>
      </c>
      <c r="D66" s="517"/>
      <c r="E66" s="517"/>
      <c r="F66" s="517"/>
      <c r="G66" s="517"/>
      <c r="H66" s="517"/>
      <c r="I66" s="517"/>
      <c r="J66" s="517"/>
      <c r="K66" s="514">
        <v>27.8</v>
      </c>
    </row>
    <row r="67" spans="1:11" x14ac:dyDescent="0.25">
      <c r="A67" s="514" t="s">
        <v>541</v>
      </c>
      <c r="B67" s="514">
        <v>2</v>
      </c>
      <c r="C67" s="514" t="s">
        <v>1039</v>
      </c>
      <c r="D67" s="517"/>
      <c r="E67" s="517"/>
      <c r="F67" s="517"/>
      <c r="G67" s="517"/>
      <c r="H67" s="517"/>
      <c r="I67" s="517"/>
      <c r="J67" s="517"/>
      <c r="K67" s="514">
        <v>34.200000000000003</v>
      </c>
    </row>
    <row r="68" spans="1:11" x14ac:dyDescent="0.25">
      <c r="A68" s="514" t="s">
        <v>740</v>
      </c>
      <c r="B68" s="514">
        <v>3</v>
      </c>
      <c r="C68" s="514" t="s">
        <v>984</v>
      </c>
      <c r="D68" s="517"/>
      <c r="E68" s="517"/>
      <c r="F68" s="517"/>
      <c r="G68" s="517"/>
      <c r="H68" s="517"/>
      <c r="I68" s="517"/>
      <c r="J68" s="517"/>
      <c r="K68" s="514">
        <v>34.299999999999997</v>
      </c>
    </row>
    <row r="69" spans="1:11" x14ac:dyDescent="0.25">
      <c r="A69" s="514" t="s">
        <v>741</v>
      </c>
      <c r="B69" s="514">
        <v>3</v>
      </c>
      <c r="C69" s="514" t="s">
        <v>1040</v>
      </c>
      <c r="D69" s="517"/>
      <c r="E69" s="517"/>
      <c r="F69" s="517"/>
      <c r="G69" s="517"/>
      <c r="H69" s="517"/>
      <c r="I69" s="517"/>
      <c r="J69" s="517"/>
      <c r="K69" s="514">
        <v>44.3</v>
      </c>
    </row>
    <row r="70" spans="1:11" x14ac:dyDescent="0.25">
      <c r="A70" s="514" t="s">
        <v>742</v>
      </c>
      <c r="B70" s="514">
        <v>3</v>
      </c>
      <c r="C70" s="514" t="s">
        <v>1041</v>
      </c>
      <c r="D70" s="517"/>
      <c r="E70" s="517"/>
      <c r="F70" s="517"/>
      <c r="G70" s="517"/>
      <c r="H70" s="517"/>
      <c r="I70" s="517"/>
      <c r="J70" s="517"/>
      <c r="K70" s="514">
        <v>33.700000000000003</v>
      </c>
    </row>
    <row r="71" spans="1:11" x14ac:dyDescent="0.25">
      <c r="A71" s="514" t="s">
        <v>743</v>
      </c>
      <c r="B71" s="514">
        <v>3</v>
      </c>
      <c r="C71" s="514" t="s">
        <v>1036</v>
      </c>
      <c r="D71" s="517"/>
      <c r="E71" s="517"/>
      <c r="F71" s="517"/>
      <c r="G71" s="517"/>
      <c r="H71" s="517"/>
      <c r="I71" s="517"/>
      <c r="J71" s="517"/>
      <c r="K71" s="514">
        <v>36.5</v>
      </c>
    </row>
    <row r="72" spans="1:11" x14ac:dyDescent="0.25">
      <c r="A72" s="514" t="s">
        <v>744</v>
      </c>
      <c r="B72" s="514">
        <v>3</v>
      </c>
      <c r="C72" s="514" t="s">
        <v>1042</v>
      </c>
      <c r="D72" s="517"/>
      <c r="E72" s="517"/>
      <c r="F72" s="517"/>
      <c r="G72" s="517"/>
      <c r="H72" s="517"/>
      <c r="I72" s="517"/>
      <c r="J72" s="517"/>
      <c r="K72" s="514">
        <v>43.3</v>
      </c>
    </row>
    <row r="73" spans="1:11" x14ac:dyDescent="0.25">
      <c r="A73" s="514" t="s">
        <v>745</v>
      </c>
      <c r="B73" s="514">
        <v>3</v>
      </c>
      <c r="C73" s="514" t="s">
        <v>985</v>
      </c>
      <c r="D73" s="517"/>
      <c r="E73" s="517"/>
      <c r="F73" s="517"/>
      <c r="G73" s="517"/>
      <c r="H73" s="517"/>
      <c r="I73" s="517"/>
      <c r="J73" s="517"/>
      <c r="K73" s="514">
        <v>27.1</v>
      </c>
    </row>
    <row r="74" spans="1:11" x14ac:dyDescent="0.25">
      <c r="A74" s="514" t="s">
        <v>549</v>
      </c>
      <c r="B74" s="514">
        <v>3</v>
      </c>
      <c r="C74" s="514" t="s">
        <v>1043</v>
      </c>
      <c r="D74" s="517"/>
      <c r="E74" s="517"/>
      <c r="F74" s="517"/>
      <c r="G74" s="517"/>
      <c r="H74" s="517"/>
      <c r="I74" s="517"/>
      <c r="J74" s="517"/>
      <c r="K74" s="514">
        <v>40.700000000000003</v>
      </c>
    </row>
    <row r="75" spans="1:11" x14ac:dyDescent="0.25">
      <c r="A75" s="514" t="s">
        <v>746</v>
      </c>
      <c r="B75" s="514">
        <v>2</v>
      </c>
      <c r="C75" s="514" t="s">
        <v>1044</v>
      </c>
      <c r="D75" s="517"/>
      <c r="E75" s="517"/>
      <c r="F75" s="517"/>
      <c r="G75" s="517"/>
      <c r="H75" s="517"/>
      <c r="I75" s="517"/>
      <c r="J75" s="517"/>
      <c r="K75" s="514">
        <v>52.7</v>
      </c>
    </row>
    <row r="76" spans="1:11" x14ac:dyDescent="0.25">
      <c r="A76" s="514" t="s">
        <v>747</v>
      </c>
      <c r="B76" s="514">
        <v>2</v>
      </c>
      <c r="C76" s="514" t="s">
        <v>1045</v>
      </c>
      <c r="D76" s="517"/>
      <c r="E76" s="517"/>
      <c r="F76" s="517"/>
      <c r="G76" s="517"/>
      <c r="H76" s="517"/>
      <c r="I76" s="517"/>
      <c r="J76" s="517"/>
      <c r="K76" s="514">
        <v>54.5</v>
      </c>
    </row>
    <row r="77" spans="1:11" x14ac:dyDescent="0.25">
      <c r="A77" s="514" t="s">
        <v>748</v>
      </c>
      <c r="B77" s="514">
        <v>3</v>
      </c>
      <c r="C77" s="514" t="s">
        <v>1036</v>
      </c>
      <c r="D77" s="517"/>
      <c r="E77" s="517"/>
      <c r="F77" s="517"/>
      <c r="G77" s="517"/>
      <c r="H77" s="517"/>
      <c r="I77" s="517"/>
      <c r="J77" s="517"/>
      <c r="K77" s="514"/>
    </row>
    <row r="78" spans="1:11" x14ac:dyDescent="0.25">
      <c r="A78" s="514" t="s">
        <v>749</v>
      </c>
      <c r="B78" s="514">
        <v>3</v>
      </c>
      <c r="C78" s="514" t="s">
        <v>1046</v>
      </c>
      <c r="D78" s="517"/>
      <c r="E78" s="517"/>
      <c r="F78" s="517"/>
      <c r="G78" s="517"/>
      <c r="H78" s="517"/>
      <c r="I78" s="517"/>
      <c r="J78" s="517"/>
      <c r="K78" s="514">
        <v>41.8</v>
      </c>
    </row>
    <row r="79" spans="1:11" x14ac:dyDescent="0.25">
      <c r="A79" s="514" t="s">
        <v>750</v>
      </c>
      <c r="B79" s="514">
        <v>3</v>
      </c>
      <c r="C79" s="514" t="s">
        <v>1003</v>
      </c>
      <c r="D79" s="517"/>
      <c r="E79" s="517"/>
      <c r="F79" s="517"/>
      <c r="G79" s="517"/>
      <c r="H79" s="517"/>
      <c r="I79" s="517"/>
      <c r="J79" s="517"/>
      <c r="K79" s="514">
        <v>30.2</v>
      </c>
    </row>
    <row r="80" spans="1:11" x14ac:dyDescent="0.25">
      <c r="A80" s="514" t="s">
        <v>751</v>
      </c>
      <c r="B80" s="514">
        <v>2</v>
      </c>
      <c r="C80" s="514" t="s">
        <v>986</v>
      </c>
      <c r="D80" s="517"/>
      <c r="E80" s="517"/>
      <c r="F80" s="517"/>
      <c r="G80" s="517"/>
      <c r="H80" s="517"/>
      <c r="I80" s="517"/>
      <c r="J80" s="517"/>
      <c r="K80" s="514">
        <v>33.799999999999997</v>
      </c>
    </row>
    <row r="81" spans="1:11" x14ac:dyDescent="0.25">
      <c r="A81" s="514" t="s">
        <v>752</v>
      </c>
      <c r="B81" s="514">
        <v>3</v>
      </c>
      <c r="C81" s="514" t="s">
        <v>1047</v>
      </c>
      <c r="D81" s="517"/>
      <c r="E81" s="517"/>
      <c r="F81" s="517"/>
      <c r="G81" s="517"/>
      <c r="H81" s="517"/>
      <c r="I81" s="517"/>
      <c r="J81" s="517"/>
      <c r="K81" s="514">
        <v>52.1</v>
      </c>
    </row>
    <row r="82" spans="1:11" x14ac:dyDescent="0.25">
      <c r="A82" s="514" t="s">
        <v>753</v>
      </c>
      <c r="B82" s="514">
        <v>2</v>
      </c>
      <c r="C82" s="514" t="s">
        <v>1048</v>
      </c>
      <c r="D82" s="517"/>
      <c r="E82" s="517"/>
      <c r="F82" s="517"/>
      <c r="G82" s="517"/>
      <c r="H82" s="517"/>
      <c r="I82" s="517"/>
      <c r="J82" s="517"/>
      <c r="K82" s="514">
        <v>31.2</v>
      </c>
    </row>
    <row r="83" spans="1:11" x14ac:dyDescent="0.25">
      <c r="A83" s="514" t="s">
        <v>754</v>
      </c>
      <c r="B83" s="514">
        <v>1</v>
      </c>
      <c r="C83" s="514" t="s">
        <v>1049</v>
      </c>
      <c r="D83" s="517"/>
      <c r="E83" s="517"/>
      <c r="F83" s="517"/>
      <c r="G83" s="517"/>
      <c r="H83" s="517"/>
      <c r="I83" s="517"/>
      <c r="J83" s="517"/>
      <c r="K83" s="514">
        <v>52.6</v>
      </c>
    </row>
    <row r="84" spans="1:11" x14ac:dyDescent="0.25">
      <c r="A84" s="514" t="s">
        <v>755</v>
      </c>
      <c r="B84" s="514">
        <v>2</v>
      </c>
      <c r="C84" s="514" t="s">
        <v>1050</v>
      </c>
      <c r="D84" s="517"/>
      <c r="E84" s="517"/>
      <c r="F84" s="517"/>
      <c r="G84" s="517"/>
      <c r="H84" s="517"/>
      <c r="I84" s="517"/>
      <c r="J84" s="517"/>
      <c r="K84" s="514">
        <v>23.7</v>
      </c>
    </row>
    <row r="85" spans="1:11" x14ac:dyDescent="0.25">
      <c r="A85" s="514" t="s">
        <v>756</v>
      </c>
      <c r="B85" s="514">
        <v>3</v>
      </c>
      <c r="C85" s="514" t="s">
        <v>987</v>
      </c>
      <c r="D85" s="517"/>
      <c r="E85" s="517"/>
      <c r="F85" s="517"/>
      <c r="G85" s="517"/>
      <c r="H85" s="517"/>
      <c r="I85" s="517"/>
      <c r="J85" s="517"/>
      <c r="K85" s="514">
        <v>27.9</v>
      </c>
    </row>
    <row r="86" spans="1:11" x14ac:dyDescent="0.25">
      <c r="A86" s="514" t="s">
        <v>757</v>
      </c>
      <c r="B86" s="514">
        <v>2</v>
      </c>
      <c r="C86" s="514" t="s">
        <v>1051</v>
      </c>
      <c r="D86" s="517"/>
      <c r="E86" s="517"/>
      <c r="F86" s="517"/>
      <c r="G86" s="517"/>
      <c r="H86" s="517"/>
      <c r="I86" s="517"/>
      <c r="J86" s="517"/>
      <c r="K86" s="514">
        <v>33.1</v>
      </c>
    </row>
    <row r="87" spans="1:11" x14ac:dyDescent="0.25">
      <c r="A87" s="514" t="s">
        <v>56</v>
      </c>
      <c r="B87" s="514">
        <v>2</v>
      </c>
      <c r="C87" s="514" t="s">
        <v>1052</v>
      </c>
      <c r="D87" s="517"/>
      <c r="E87" s="517"/>
      <c r="F87" s="517"/>
      <c r="G87" s="517"/>
      <c r="H87" s="517"/>
      <c r="I87" s="517"/>
      <c r="J87" s="517"/>
      <c r="K87" s="514">
        <v>39.9</v>
      </c>
    </row>
    <row r="88" spans="1:11" x14ac:dyDescent="0.25">
      <c r="A88" s="514" t="s">
        <v>758</v>
      </c>
      <c r="B88" s="514">
        <v>3</v>
      </c>
      <c r="C88" s="514" t="s">
        <v>1053</v>
      </c>
      <c r="D88" s="517"/>
      <c r="E88" s="517"/>
      <c r="F88" s="517"/>
      <c r="G88" s="517"/>
      <c r="H88" s="517"/>
      <c r="I88" s="517"/>
      <c r="J88" s="517"/>
      <c r="K88" s="514">
        <v>50.5</v>
      </c>
    </row>
    <row r="89" spans="1:11" x14ac:dyDescent="0.25">
      <c r="A89" s="514" t="s">
        <v>759</v>
      </c>
      <c r="B89" s="514">
        <v>3</v>
      </c>
      <c r="C89" s="514" t="s">
        <v>1014</v>
      </c>
      <c r="D89" s="517"/>
      <c r="E89" s="517"/>
      <c r="F89" s="517"/>
      <c r="G89" s="517"/>
      <c r="H89" s="517"/>
      <c r="I89" s="517"/>
      <c r="J89" s="517"/>
      <c r="K89" s="514">
        <v>47.3</v>
      </c>
    </row>
    <row r="90" spans="1:11" x14ac:dyDescent="0.25">
      <c r="A90" s="514" t="s">
        <v>760</v>
      </c>
      <c r="B90" s="514">
        <v>3</v>
      </c>
      <c r="C90" s="514" t="s">
        <v>1004</v>
      </c>
      <c r="D90" s="517"/>
      <c r="E90" s="517"/>
      <c r="F90" s="517"/>
      <c r="G90" s="517"/>
      <c r="H90" s="517"/>
      <c r="I90" s="517"/>
      <c r="J90" s="517"/>
      <c r="K90" s="514">
        <v>52</v>
      </c>
    </row>
    <row r="91" spans="1:11" x14ac:dyDescent="0.25">
      <c r="A91" s="514" t="s">
        <v>761</v>
      </c>
      <c r="B91" s="514">
        <v>1</v>
      </c>
      <c r="C91" s="514" t="s">
        <v>1054</v>
      </c>
      <c r="D91" s="517"/>
      <c r="E91" s="517"/>
      <c r="F91" s="517"/>
      <c r="G91" s="517"/>
      <c r="H91" s="517"/>
      <c r="I91" s="517"/>
      <c r="J91" s="517"/>
      <c r="K91" s="514">
        <v>34.299999999999997</v>
      </c>
    </row>
    <row r="92" spans="1:11" x14ac:dyDescent="0.25">
      <c r="A92" s="514" t="s">
        <v>762</v>
      </c>
      <c r="B92" s="514">
        <v>3</v>
      </c>
      <c r="C92" s="514" t="s">
        <v>988</v>
      </c>
      <c r="D92" s="517"/>
      <c r="E92" s="517"/>
      <c r="F92" s="517"/>
      <c r="G92" s="517"/>
      <c r="H92" s="517"/>
      <c r="I92" s="517"/>
      <c r="J92" s="517"/>
      <c r="K92" s="514">
        <v>36.1</v>
      </c>
    </row>
    <row r="93" spans="1:11" x14ac:dyDescent="0.25">
      <c r="A93" s="514" t="s">
        <v>763</v>
      </c>
      <c r="B93" s="514">
        <v>3</v>
      </c>
      <c r="C93" s="514" t="s">
        <v>1055</v>
      </c>
      <c r="D93" s="517"/>
      <c r="E93" s="517"/>
      <c r="F93" s="517"/>
      <c r="G93" s="517"/>
      <c r="H93" s="517"/>
      <c r="I93" s="517"/>
      <c r="J93" s="517"/>
      <c r="K93" s="514">
        <v>41.5</v>
      </c>
    </row>
    <row r="94" spans="1:11" x14ac:dyDescent="0.25">
      <c r="A94" s="514" t="s">
        <v>764</v>
      </c>
      <c r="B94" s="514">
        <v>2</v>
      </c>
      <c r="C94" s="514" t="s">
        <v>1004</v>
      </c>
      <c r="D94" s="517"/>
      <c r="E94" s="517"/>
      <c r="F94" s="517"/>
      <c r="G94" s="517"/>
      <c r="H94" s="517"/>
      <c r="I94" s="517"/>
      <c r="J94" s="517"/>
      <c r="K94" s="514">
        <v>52</v>
      </c>
    </row>
    <row r="95" spans="1:11" x14ac:dyDescent="0.25">
      <c r="A95" s="514" t="s">
        <v>765</v>
      </c>
      <c r="B95" s="514">
        <v>3</v>
      </c>
      <c r="C95" s="514" t="s">
        <v>1056</v>
      </c>
      <c r="D95" s="517"/>
      <c r="E95" s="517"/>
      <c r="F95" s="517"/>
      <c r="G95" s="517"/>
      <c r="H95" s="517"/>
      <c r="I95" s="517"/>
      <c r="J95" s="517"/>
      <c r="K95" s="514">
        <v>31.7</v>
      </c>
    </row>
    <row r="96" spans="1:11" x14ac:dyDescent="0.25">
      <c r="A96" s="514" t="s">
        <v>766</v>
      </c>
      <c r="B96" s="514">
        <v>3</v>
      </c>
      <c r="C96" s="514" t="s">
        <v>1057</v>
      </c>
      <c r="D96" s="517"/>
      <c r="E96" s="517"/>
      <c r="F96" s="517"/>
      <c r="G96" s="517"/>
      <c r="H96" s="517"/>
      <c r="I96" s="517"/>
      <c r="J96" s="517"/>
      <c r="K96" s="514">
        <v>35.6</v>
      </c>
    </row>
    <row r="97" spans="1:11" x14ac:dyDescent="0.25">
      <c r="A97" s="514" t="s">
        <v>767</v>
      </c>
      <c r="B97" s="514">
        <v>3</v>
      </c>
      <c r="C97" s="514" t="s">
        <v>1036</v>
      </c>
      <c r="D97" s="517"/>
      <c r="E97" s="517"/>
      <c r="F97" s="517"/>
      <c r="G97" s="517"/>
      <c r="H97" s="517"/>
      <c r="I97" s="517"/>
      <c r="J97" s="517"/>
      <c r="K97" s="514">
        <v>25</v>
      </c>
    </row>
    <row r="98" spans="1:11" x14ac:dyDescent="0.25">
      <c r="A98" s="514" t="s">
        <v>768</v>
      </c>
      <c r="B98" s="514">
        <v>2</v>
      </c>
      <c r="C98" s="514" t="s">
        <v>1058</v>
      </c>
      <c r="D98" s="517"/>
      <c r="E98" s="517"/>
      <c r="F98" s="517"/>
      <c r="G98" s="517"/>
      <c r="H98" s="517"/>
      <c r="I98" s="517"/>
      <c r="J98" s="517"/>
      <c r="K98" s="514">
        <v>32</v>
      </c>
    </row>
    <row r="99" spans="1:11" x14ac:dyDescent="0.25">
      <c r="A99" s="514" t="s">
        <v>55</v>
      </c>
      <c r="B99" s="514">
        <v>1</v>
      </c>
      <c r="C99" s="514" t="s">
        <v>989</v>
      </c>
      <c r="D99" s="517"/>
      <c r="E99" s="517"/>
      <c r="F99" s="517"/>
      <c r="G99" s="517"/>
      <c r="H99" s="517"/>
      <c r="I99" s="517"/>
      <c r="J99" s="517"/>
      <c r="K99" s="514">
        <v>37.9</v>
      </c>
    </row>
    <row r="100" spans="1:11" x14ac:dyDescent="0.25">
      <c r="A100" s="514" t="s">
        <v>769</v>
      </c>
      <c r="B100" s="514">
        <v>2</v>
      </c>
      <c r="C100" s="514" t="s">
        <v>1059</v>
      </c>
      <c r="D100" s="517"/>
      <c r="E100" s="517"/>
      <c r="F100" s="517"/>
      <c r="G100" s="517"/>
      <c r="H100" s="517"/>
      <c r="I100" s="517"/>
      <c r="J100" s="517"/>
      <c r="K100" s="514">
        <v>40</v>
      </c>
    </row>
    <row r="101" spans="1:11" x14ac:dyDescent="0.25">
      <c r="A101" s="514" t="s">
        <v>770</v>
      </c>
      <c r="B101" s="514">
        <v>3</v>
      </c>
      <c r="C101" s="514" t="s">
        <v>1060</v>
      </c>
      <c r="D101" s="517"/>
      <c r="E101" s="517"/>
      <c r="F101" s="517"/>
      <c r="G101" s="517"/>
      <c r="H101" s="517"/>
      <c r="I101" s="517"/>
      <c r="J101" s="517"/>
      <c r="K101" s="514">
        <v>29.2</v>
      </c>
    </row>
    <row r="102" spans="1:11" x14ac:dyDescent="0.25">
      <c r="A102" s="514" t="s">
        <v>771</v>
      </c>
      <c r="B102" s="514">
        <v>3</v>
      </c>
      <c r="C102" s="514" t="s">
        <v>1044</v>
      </c>
      <c r="D102" s="517"/>
      <c r="E102" s="517"/>
      <c r="F102" s="517"/>
      <c r="G102" s="517"/>
      <c r="H102" s="517"/>
      <c r="I102" s="517"/>
      <c r="J102" s="517"/>
      <c r="K102" s="514"/>
    </row>
    <row r="103" spans="1:11" x14ac:dyDescent="0.25">
      <c r="A103" s="514" t="s">
        <v>772</v>
      </c>
      <c r="B103" s="514">
        <v>2</v>
      </c>
      <c r="C103" s="514" t="s">
        <v>1061</v>
      </c>
      <c r="D103" s="517"/>
      <c r="E103" s="517"/>
      <c r="F103" s="517"/>
      <c r="G103" s="517"/>
      <c r="H103" s="517"/>
      <c r="I103" s="517"/>
      <c r="J103" s="517"/>
      <c r="K103" s="514">
        <v>28.7</v>
      </c>
    </row>
    <row r="104" spans="1:11" x14ac:dyDescent="0.25">
      <c r="A104" s="514" t="s">
        <v>773</v>
      </c>
      <c r="B104" s="514">
        <v>3</v>
      </c>
      <c r="C104" s="514" t="s">
        <v>990</v>
      </c>
      <c r="D104" s="517"/>
      <c r="E104" s="517"/>
      <c r="F104" s="517"/>
      <c r="G104" s="517"/>
      <c r="H104" s="517"/>
      <c r="I104" s="517"/>
      <c r="J104" s="517"/>
      <c r="K104" s="514">
        <v>43.6</v>
      </c>
    </row>
    <row r="105" spans="1:11" x14ac:dyDescent="0.25">
      <c r="A105" s="514" t="s">
        <v>774</v>
      </c>
      <c r="B105" s="514">
        <v>2</v>
      </c>
      <c r="C105" s="514" t="s">
        <v>1062</v>
      </c>
      <c r="D105" s="517"/>
      <c r="E105" s="517"/>
      <c r="F105" s="517"/>
      <c r="G105" s="517"/>
      <c r="H105" s="517"/>
      <c r="I105" s="517"/>
      <c r="J105" s="517"/>
      <c r="K105" s="514">
        <v>34.200000000000003</v>
      </c>
    </row>
    <row r="106" spans="1:11" x14ac:dyDescent="0.25">
      <c r="A106" s="514" t="s">
        <v>775</v>
      </c>
      <c r="B106" s="514">
        <v>2</v>
      </c>
      <c r="C106" s="514" t="s">
        <v>1014</v>
      </c>
      <c r="D106" s="517"/>
      <c r="E106" s="517"/>
      <c r="F106" s="517"/>
      <c r="G106" s="517"/>
      <c r="H106" s="517"/>
      <c r="I106" s="517"/>
      <c r="J106" s="517"/>
      <c r="K106" s="514">
        <v>40.4</v>
      </c>
    </row>
    <row r="107" spans="1:11" x14ac:dyDescent="0.25">
      <c r="A107" s="514" t="s">
        <v>776</v>
      </c>
      <c r="B107" s="514">
        <v>3</v>
      </c>
      <c r="C107" s="514" t="s">
        <v>992</v>
      </c>
      <c r="D107" s="517"/>
      <c r="E107" s="517"/>
      <c r="F107" s="517"/>
      <c r="G107" s="517"/>
      <c r="H107" s="517"/>
      <c r="I107" s="517"/>
      <c r="J107" s="517"/>
      <c r="K107" s="514">
        <v>42.4</v>
      </c>
    </row>
    <row r="108" spans="1:11" x14ac:dyDescent="0.25">
      <c r="A108" s="514" t="s">
        <v>777</v>
      </c>
      <c r="B108" s="514">
        <v>3</v>
      </c>
      <c r="C108" s="514" t="s">
        <v>1063</v>
      </c>
      <c r="D108" s="517"/>
      <c r="E108" s="517"/>
      <c r="F108" s="517"/>
      <c r="G108" s="517"/>
      <c r="H108" s="517"/>
      <c r="I108" s="517"/>
      <c r="J108" s="517"/>
      <c r="K108" s="514">
        <v>34.200000000000003</v>
      </c>
    </row>
    <row r="109" spans="1:11" x14ac:dyDescent="0.25">
      <c r="A109" s="514" t="s">
        <v>778</v>
      </c>
      <c r="B109" s="514">
        <v>2</v>
      </c>
      <c r="C109" s="514" t="s">
        <v>991</v>
      </c>
      <c r="D109" s="517"/>
      <c r="E109" s="517"/>
      <c r="F109" s="517"/>
      <c r="G109" s="517"/>
      <c r="H109" s="517"/>
      <c r="I109" s="517"/>
      <c r="J109" s="517"/>
      <c r="K109" s="514">
        <v>33.9</v>
      </c>
    </row>
    <row r="110" spans="1:11" x14ac:dyDescent="0.25">
      <c r="A110" s="514" t="s">
        <v>779</v>
      </c>
      <c r="B110" s="514">
        <v>3</v>
      </c>
      <c r="C110" s="514" t="s">
        <v>1064</v>
      </c>
      <c r="D110" s="517"/>
      <c r="E110" s="517"/>
      <c r="F110" s="517"/>
      <c r="G110" s="517"/>
      <c r="H110" s="517"/>
      <c r="I110" s="517"/>
      <c r="J110" s="517"/>
      <c r="K110" s="514">
        <v>39.200000000000003</v>
      </c>
    </row>
    <row r="111" spans="1:11" x14ac:dyDescent="0.25">
      <c r="A111" s="514" t="s">
        <v>780</v>
      </c>
      <c r="B111" s="514">
        <v>2</v>
      </c>
      <c r="C111" s="514" t="s">
        <v>1065</v>
      </c>
      <c r="D111" s="517"/>
      <c r="E111" s="517"/>
      <c r="F111" s="517"/>
      <c r="G111" s="517"/>
      <c r="H111" s="517"/>
      <c r="I111" s="517"/>
      <c r="J111" s="517"/>
      <c r="K111" s="514">
        <v>70.900000000000006</v>
      </c>
    </row>
    <row r="112" spans="1:11" x14ac:dyDescent="0.25">
      <c r="A112" s="514" t="s">
        <v>781</v>
      </c>
      <c r="B112" s="514">
        <v>3</v>
      </c>
      <c r="C112" s="514" t="s">
        <v>993</v>
      </c>
      <c r="D112" s="517"/>
      <c r="E112" s="517"/>
      <c r="F112" s="517"/>
      <c r="G112" s="517"/>
      <c r="H112" s="517"/>
      <c r="I112" s="517"/>
      <c r="J112" s="517"/>
      <c r="K112" s="514">
        <v>29.2</v>
      </c>
    </row>
    <row r="113" spans="1:11" x14ac:dyDescent="0.25">
      <c r="A113" s="514" t="s">
        <v>782</v>
      </c>
      <c r="B113" s="514">
        <v>3</v>
      </c>
      <c r="C113" s="514" t="s">
        <v>994</v>
      </c>
      <c r="D113" s="517"/>
      <c r="E113" s="517"/>
      <c r="F113" s="517"/>
      <c r="G113" s="517"/>
      <c r="H113" s="517"/>
      <c r="I113" s="517"/>
      <c r="J113" s="517"/>
      <c r="K113" s="514">
        <v>34.6</v>
      </c>
    </row>
    <row r="114" spans="1:11" x14ac:dyDescent="0.25">
      <c r="A114" s="514" t="s">
        <v>783</v>
      </c>
      <c r="B114" s="514">
        <v>3</v>
      </c>
      <c r="C114" s="514" t="s">
        <v>1004</v>
      </c>
      <c r="D114" s="517"/>
      <c r="E114" s="517"/>
      <c r="F114" s="517"/>
      <c r="G114" s="517"/>
      <c r="H114" s="517"/>
      <c r="I114" s="517"/>
      <c r="J114" s="517"/>
      <c r="K114" s="514">
        <v>28.8</v>
      </c>
    </row>
    <row r="115" spans="1:11" x14ac:dyDescent="0.25">
      <c r="A115" s="514" t="s">
        <v>784</v>
      </c>
      <c r="B115" s="514">
        <v>3</v>
      </c>
      <c r="C115" s="514" t="s">
        <v>1066</v>
      </c>
      <c r="D115" s="517"/>
      <c r="E115" s="517"/>
      <c r="F115" s="517"/>
      <c r="G115" s="517"/>
      <c r="H115" s="517"/>
      <c r="I115" s="517"/>
      <c r="J115" s="517"/>
      <c r="K115" s="514">
        <v>20.100000000000001</v>
      </c>
    </row>
    <row r="116" spans="1:11" x14ac:dyDescent="0.25">
      <c r="A116" s="514" t="s">
        <v>785</v>
      </c>
      <c r="B116" s="514">
        <v>3</v>
      </c>
      <c r="C116" s="514" t="s">
        <v>1067</v>
      </c>
      <c r="D116" s="517"/>
      <c r="E116" s="517"/>
      <c r="F116" s="517"/>
      <c r="G116" s="517"/>
      <c r="H116" s="517"/>
      <c r="I116" s="517"/>
      <c r="J116" s="517"/>
      <c r="K116" s="514">
        <v>43</v>
      </c>
    </row>
    <row r="117" spans="1:11" x14ac:dyDescent="0.25">
      <c r="A117" s="514" t="s">
        <v>786</v>
      </c>
      <c r="B117" s="514">
        <v>3</v>
      </c>
      <c r="C117" s="514" t="s">
        <v>1068</v>
      </c>
      <c r="D117" s="517"/>
      <c r="E117" s="517"/>
      <c r="F117" s="517"/>
      <c r="G117" s="517"/>
      <c r="H117" s="517"/>
      <c r="I117" s="517"/>
      <c r="J117" s="517"/>
      <c r="K117" s="514">
        <v>27.4</v>
      </c>
    </row>
    <row r="118" spans="1:11" x14ac:dyDescent="0.25">
      <c r="A118" s="514" t="s">
        <v>787</v>
      </c>
      <c r="B118" s="514">
        <v>3</v>
      </c>
      <c r="C118" s="514" t="s">
        <v>1069</v>
      </c>
      <c r="D118" s="517"/>
      <c r="E118" s="517"/>
      <c r="F118" s="517"/>
      <c r="G118" s="517"/>
      <c r="H118" s="517"/>
      <c r="I118" s="517"/>
      <c r="J118" s="517"/>
      <c r="K118" s="514">
        <v>44.3</v>
      </c>
    </row>
    <row r="119" spans="1:11" x14ac:dyDescent="0.25">
      <c r="A119" s="514" t="s">
        <v>788</v>
      </c>
      <c r="B119" s="514">
        <v>2</v>
      </c>
      <c r="C119" s="514" t="s">
        <v>1070</v>
      </c>
      <c r="D119" s="517"/>
      <c r="E119" s="517"/>
      <c r="F119" s="517"/>
      <c r="G119" s="517"/>
      <c r="H119" s="517"/>
      <c r="I119" s="517"/>
      <c r="J119" s="517"/>
      <c r="K119" s="514">
        <v>42.2</v>
      </c>
    </row>
    <row r="120" spans="1:11" x14ac:dyDescent="0.25">
      <c r="A120" s="514" t="s">
        <v>789</v>
      </c>
      <c r="B120" s="514">
        <v>2</v>
      </c>
      <c r="C120" s="514" t="s">
        <v>1014</v>
      </c>
      <c r="D120" s="517"/>
      <c r="E120" s="517"/>
      <c r="F120" s="517"/>
      <c r="G120" s="517"/>
      <c r="H120" s="517"/>
      <c r="I120" s="517"/>
      <c r="J120" s="517"/>
      <c r="K120" s="514">
        <v>37.299999999999997</v>
      </c>
    </row>
    <row r="121" spans="1:11" x14ac:dyDescent="0.25">
      <c r="A121" s="514" t="s">
        <v>790</v>
      </c>
      <c r="B121" s="514">
        <v>3</v>
      </c>
      <c r="C121" s="514" t="s">
        <v>1071</v>
      </c>
      <c r="D121" s="517"/>
      <c r="E121" s="517"/>
      <c r="F121" s="517"/>
      <c r="G121" s="517"/>
      <c r="H121" s="517"/>
      <c r="I121" s="517"/>
      <c r="J121" s="517"/>
      <c r="K121" s="514">
        <v>33.1</v>
      </c>
    </row>
    <row r="122" spans="1:11" x14ac:dyDescent="0.25">
      <c r="A122" s="514" t="s">
        <v>791</v>
      </c>
      <c r="B122" s="514">
        <v>3</v>
      </c>
      <c r="C122" s="514" t="s">
        <v>995</v>
      </c>
      <c r="D122" s="517"/>
      <c r="E122" s="517"/>
      <c r="F122" s="517"/>
      <c r="G122" s="517"/>
      <c r="H122" s="517"/>
      <c r="I122" s="517"/>
      <c r="J122" s="517"/>
      <c r="K122" s="514">
        <v>53</v>
      </c>
    </row>
    <row r="123" spans="1:11" x14ac:dyDescent="0.25">
      <c r="A123" s="514" t="s">
        <v>792</v>
      </c>
      <c r="B123" s="514">
        <v>2</v>
      </c>
      <c r="C123" s="514" t="s">
        <v>1072</v>
      </c>
      <c r="D123" s="517"/>
      <c r="E123" s="517"/>
      <c r="F123" s="517"/>
      <c r="G123" s="517"/>
      <c r="H123" s="517"/>
      <c r="I123" s="517"/>
      <c r="J123" s="517"/>
      <c r="K123" s="514">
        <v>48.7</v>
      </c>
    </row>
    <row r="124" spans="1:11" x14ac:dyDescent="0.25">
      <c r="A124" s="514" t="s">
        <v>793</v>
      </c>
      <c r="B124" s="514">
        <v>3</v>
      </c>
      <c r="C124" s="514" t="s">
        <v>1027</v>
      </c>
      <c r="D124" s="517"/>
      <c r="E124" s="517"/>
      <c r="F124" s="517"/>
      <c r="G124" s="517"/>
      <c r="H124" s="517"/>
      <c r="I124" s="517"/>
      <c r="J124" s="517"/>
      <c r="K124" s="514"/>
    </row>
    <row r="125" spans="1:11" x14ac:dyDescent="0.25">
      <c r="A125" s="514" t="s">
        <v>794</v>
      </c>
      <c r="B125" s="514">
        <v>3</v>
      </c>
      <c r="C125" s="514" t="s">
        <v>1036</v>
      </c>
      <c r="D125" s="517"/>
      <c r="E125" s="517"/>
      <c r="F125" s="517"/>
      <c r="G125" s="517"/>
      <c r="H125" s="517"/>
      <c r="I125" s="517"/>
      <c r="J125" s="517"/>
      <c r="K125" s="514">
        <v>29.5</v>
      </c>
    </row>
    <row r="126" spans="1:11" x14ac:dyDescent="0.25">
      <c r="A126" s="514" t="s">
        <v>795</v>
      </c>
      <c r="B126" s="514">
        <v>2</v>
      </c>
      <c r="C126" s="514" t="s">
        <v>997</v>
      </c>
      <c r="D126" s="517"/>
      <c r="E126" s="517"/>
      <c r="F126" s="517"/>
      <c r="G126" s="517"/>
      <c r="H126" s="517"/>
      <c r="I126" s="517"/>
      <c r="J126" s="517"/>
      <c r="K126" s="514">
        <v>53.7</v>
      </c>
    </row>
    <row r="127" spans="1:11" x14ac:dyDescent="0.25">
      <c r="A127" s="514" t="s">
        <v>796</v>
      </c>
      <c r="B127" s="514">
        <v>2</v>
      </c>
      <c r="C127" s="514" t="s">
        <v>1073</v>
      </c>
      <c r="D127" s="517"/>
      <c r="E127" s="517"/>
      <c r="F127" s="517"/>
      <c r="G127" s="517"/>
      <c r="H127" s="517"/>
      <c r="I127" s="517"/>
      <c r="J127" s="517"/>
      <c r="K127" s="514">
        <v>40.700000000000003</v>
      </c>
    </row>
    <row r="128" spans="1:11" x14ac:dyDescent="0.25">
      <c r="A128" s="514" t="s">
        <v>797</v>
      </c>
      <c r="B128" s="514">
        <v>2</v>
      </c>
      <c r="C128" s="514" t="s">
        <v>1074</v>
      </c>
      <c r="D128" s="517"/>
      <c r="E128" s="517"/>
      <c r="F128" s="517"/>
      <c r="G128" s="517"/>
      <c r="H128" s="517"/>
      <c r="I128" s="517"/>
      <c r="J128" s="517"/>
      <c r="K128" s="514">
        <v>60.2</v>
      </c>
    </row>
    <row r="129" spans="1:11" x14ac:dyDescent="0.25">
      <c r="A129" s="514" t="s">
        <v>798</v>
      </c>
      <c r="B129" s="514">
        <v>3</v>
      </c>
      <c r="C129" s="514" t="s">
        <v>996</v>
      </c>
      <c r="D129" s="517"/>
      <c r="E129" s="517"/>
      <c r="F129" s="517"/>
      <c r="G129" s="517"/>
      <c r="H129" s="517"/>
      <c r="I129" s="517"/>
      <c r="J129" s="517"/>
      <c r="K129" s="514">
        <v>31.8</v>
      </c>
    </row>
    <row r="130" spans="1:11" x14ac:dyDescent="0.25">
      <c r="A130" s="514" t="s">
        <v>799</v>
      </c>
      <c r="B130" s="514">
        <v>3</v>
      </c>
      <c r="C130" s="514" t="s">
        <v>1006</v>
      </c>
      <c r="D130" s="517"/>
      <c r="E130" s="517"/>
      <c r="F130" s="517"/>
      <c r="G130" s="517"/>
      <c r="H130" s="517"/>
      <c r="I130" s="517"/>
      <c r="J130" s="517"/>
      <c r="K130" s="514">
        <v>49.7</v>
      </c>
    </row>
    <row r="131" spans="1:11" x14ac:dyDescent="0.25">
      <c r="A131" s="514" t="s">
        <v>800</v>
      </c>
      <c r="B131" s="514">
        <v>3</v>
      </c>
      <c r="C131" s="514" t="s">
        <v>1006</v>
      </c>
      <c r="D131" s="517"/>
      <c r="E131" s="517"/>
      <c r="F131" s="517"/>
      <c r="G131" s="517"/>
      <c r="H131" s="517"/>
      <c r="I131" s="517"/>
      <c r="J131" s="517"/>
      <c r="K131" s="514">
        <v>48.3</v>
      </c>
    </row>
    <row r="132" spans="1:11" x14ac:dyDescent="0.25">
      <c r="A132" s="514" t="s">
        <v>801</v>
      </c>
      <c r="B132" s="514">
        <v>3</v>
      </c>
      <c r="C132" s="514" t="s">
        <v>1036</v>
      </c>
      <c r="D132" s="517"/>
      <c r="E132" s="517"/>
      <c r="F132" s="517"/>
      <c r="G132" s="517"/>
      <c r="H132" s="517"/>
      <c r="I132" s="517"/>
      <c r="J132" s="517"/>
      <c r="K132" s="514"/>
    </row>
    <row r="133" spans="1:11" x14ac:dyDescent="0.25">
      <c r="A133" s="514" t="s">
        <v>802</v>
      </c>
      <c r="B133" s="514">
        <v>3</v>
      </c>
      <c r="C133" s="514" t="s">
        <v>1006</v>
      </c>
      <c r="D133" s="517"/>
      <c r="E133" s="517"/>
      <c r="F133" s="517"/>
      <c r="G133" s="517"/>
      <c r="H133" s="517"/>
      <c r="I133" s="517"/>
      <c r="J133" s="517"/>
      <c r="K133" s="514">
        <v>49.7</v>
      </c>
    </row>
    <row r="134" spans="1:11" x14ac:dyDescent="0.25">
      <c r="A134" s="514" t="s">
        <v>803</v>
      </c>
      <c r="B134" s="514">
        <v>2</v>
      </c>
      <c r="C134" s="514" t="s">
        <v>1075</v>
      </c>
      <c r="D134" s="517"/>
      <c r="E134" s="517"/>
      <c r="F134" s="517"/>
      <c r="G134" s="517"/>
      <c r="H134" s="517"/>
      <c r="I134" s="517"/>
      <c r="J134" s="517"/>
      <c r="K134" s="514">
        <v>74</v>
      </c>
    </row>
    <row r="135" spans="1:11" x14ac:dyDescent="0.25">
      <c r="A135" s="514" t="s">
        <v>804</v>
      </c>
      <c r="B135" s="514">
        <v>3</v>
      </c>
      <c r="C135" s="514" t="s">
        <v>998</v>
      </c>
      <c r="D135" s="517"/>
      <c r="E135" s="517"/>
      <c r="F135" s="517"/>
      <c r="G135" s="517"/>
      <c r="H135" s="517"/>
      <c r="I135" s="517"/>
      <c r="J135" s="517"/>
      <c r="K135" s="514">
        <v>39.4</v>
      </c>
    </row>
    <row r="136" spans="1:11" x14ac:dyDescent="0.25">
      <c r="A136" s="514" t="s">
        <v>805</v>
      </c>
      <c r="B136" s="514">
        <v>2</v>
      </c>
      <c r="C136" s="514" t="s">
        <v>1076</v>
      </c>
      <c r="D136" s="517"/>
      <c r="E136" s="517"/>
      <c r="F136" s="517"/>
      <c r="G136" s="517"/>
      <c r="H136" s="517"/>
      <c r="I136" s="517"/>
      <c r="J136" s="517"/>
      <c r="K136" s="514">
        <v>28.8</v>
      </c>
    </row>
    <row r="137" spans="1:11" x14ac:dyDescent="0.25">
      <c r="A137" s="514" t="s">
        <v>806</v>
      </c>
      <c r="B137" s="514">
        <v>3</v>
      </c>
      <c r="C137" s="514" t="s">
        <v>1077</v>
      </c>
      <c r="D137" s="517"/>
      <c r="E137" s="517"/>
      <c r="F137" s="517"/>
      <c r="G137" s="517"/>
      <c r="H137" s="517"/>
      <c r="I137" s="517"/>
      <c r="J137" s="517"/>
      <c r="K137" s="514">
        <v>28</v>
      </c>
    </row>
    <row r="138" spans="1:11" x14ac:dyDescent="0.25">
      <c r="A138" s="514" t="s">
        <v>53</v>
      </c>
      <c r="B138" s="514">
        <v>2</v>
      </c>
      <c r="C138" s="514" t="s">
        <v>1078</v>
      </c>
      <c r="D138" s="517"/>
      <c r="E138" s="517"/>
      <c r="F138" s="517"/>
      <c r="G138" s="517"/>
      <c r="H138" s="517"/>
      <c r="I138" s="517"/>
      <c r="J138" s="517"/>
      <c r="K138" s="514">
        <v>43.3</v>
      </c>
    </row>
    <row r="139" spans="1:11" x14ac:dyDescent="0.25">
      <c r="A139" s="514" t="s">
        <v>807</v>
      </c>
      <c r="B139" s="514">
        <v>2</v>
      </c>
      <c r="C139" s="514" t="s">
        <v>1004</v>
      </c>
      <c r="D139" s="517"/>
      <c r="E139" s="517"/>
      <c r="F139" s="517"/>
      <c r="G139" s="517"/>
      <c r="H139" s="517"/>
      <c r="I139" s="517"/>
      <c r="J139" s="517"/>
      <c r="K139" s="514">
        <v>45.7</v>
      </c>
    </row>
    <row r="140" spans="1:11" x14ac:dyDescent="0.25">
      <c r="A140" s="514" t="s">
        <v>808</v>
      </c>
      <c r="B140" s="514">
        <v>2</v>
      </c>
      <c r="C140" s="514" t="s">
        <v>1014</v>
      </c>
      <c r="D140" s="517"/>
      <c r="E140" s="517"/>
      <c r="F140" s="517"/>
      <c r="G140" s="517"/>
      <c r="H140" s="517"/>
      <c r="I140" s="517"/>
      <c r="J140" s="517"/>
      <c r="K140" s="514">
        <v>47.9</v>
      </c>
    </row>
    <row r="141" spans="1:11" x14ac:dyDescent="0.25">
      <c r="A141" s="514" t="s">
        <v>809</v>
      </c>
      <c r="B141" s="514">
        <v>3</v>
      </c>
      <c r="C141" s="514" t="s">
        <v>1079</v>
      </c>
      <c r="D141" s="517"/>
      <c r="E141" s="517"/>
      <c r="F141" s="517"/>
      <c r="G141" s="517"/>
      <c r="H141" s="517"/>
      <c r="I141" s="517"/>
      <c r="J141" s="517"/>
      <c r="K141" s="514">
        <v>34.1</v>
      </c>
    </row>
    <row r="142" spans="1:11" x14ac:dyDescent="0.25">
      <c r="A142" s="514" t="s">
        <v>810</v>
      </c>
      <c r="B142" s="514">
        <v>3</v>
      </c>
      <c r="C142" s="514" t="s">
        <v>999</v>
      </c>
      <c r="D142" s="517"/>
      <c r="E142" s="517"/>
      <c r="F142" s="517"/>
      <c r="G142" s="517"/>
      <c r="H142" s="517"/>
      <c r="I142" s="517"/>
      <c r="J142" s="517"/>
      <c r="K142" s="514">
        <v>42.7</v>
      </c>
    </row>
    <row r="143" spans="1:11" x14ac:dyDescent="0.25">
      <c r="A143" s="514" t="s">
        <v>811</v>
      </c>
      <c r="B143" s="514">
        <v>3</v>
      </c>
      <c r="C143" s="514" t="s">
        <v>1080</v>
      </c>
      <c r="D143" s="517"/>
      <c r="E143" s="517"/>
      <c r="F143" s="517"/>
      <c r="G143" s="517"/>
      <c r="H143" s="517"/>
      <c r="I143" s="517"/>
      <c r="J143" s="517"/>
      <c r="K143" s="514">
        <v>34.1</v>
      </c>
    </row>
    <row r="144" spans="1:11" x14ac:dyDescent="0.25">
      <c r="A144" s="514" t="s">
        <v>812</v>
      </c>
      <c r="B144" s="514">
        <v>3</v>
      </c>
      <c r="C144" s="514" t="s">
        <v>1081</v>
      </c>
      <c r="D144" s="517"/>
      <c r="E144" s="517"/>
      <c r="F144" s="517"/>
      <c r="G144" s="517"/>
      <c r="H144" s="517"/>
      <c r="I144" s="517"/>
      <c r="J144" s="517"/>
      <c r="K144" s="514">
        <v>24.1</v>
      </c>
    </row>
    <row r="145" spans="1:11" x14ac:dyDescent="0.25">
      <c r="A145" s="514" t="s">
        <v>813</v>
      </c>
      <c r="B145" s="514">
        <v>3</v>
      </c>
      <c r="C145" s="514" t="s">
        <v>1082</v>
      </c>
      <c r="D145" s="517"/>
      <c r="E145" s="517"/>
      <c r="F145" s="517"/>
      <c r="G145" s="517"/>
      <c r="H145" s="517"/>
      <c r="I145" s="517"/>
      <c r="J145" s="517"/>
      <c r="K145" s="514">
        <v>61.2</v>
      </c>
    </row>
    <row r="146" spans="1:11" x14ac:dyDescent="0.25">
      <c r="A146" s="514" t="s">
        <v>814</v>
      </c>
      <c r="B146" s="514">
        <v>3</v>
      </c>
      <c r="C146" s="514" t="s">
        <v>1004</v>
      </c>
      <c r="D146" s="517"/>
      <c r="E146" s="517"/>
      <c r="F146" s="517"/>
      <c r="G146" s="517"/>
      <c r="H146" s="517"/>
      <c r="I146" s="517"/>
      <c r="J146" s="517"/>
      <c r="K146" s="514"/>
    </row>
    <row r="147" spans="1:11" x14ac:dyDescent="0.25">
      <c r="A147" s="514" t="s">
        <v>815</v>
      </c>
      <c r="B147" s="514">
        <v>3</v>
      </c>
      <c r="C147" s="514" t="s">
        <v>1044</v>
      </c>
      <c r="D147" s="517"/>
      <c r="E147" s="517"/>
      <c r="F147" s="517"/>
      <c r="G147" s="517"/>
      <c r="H147" s="517"/>
      <c r="I147" s="517"/>
      <c r="J147" s="517"/>
      <c r="K147" s="514">
        <v>48.1</v>
      </c>
    </row>
    <row r="148" spans="1:11" x14ac:dyDescent="0.25">
      <c r="A148" s="514" t="s">
        <v>816</v>
      </c>
      <c r="B148" s="514">
        <v>2</v>
      </c>
      <c r="C148" s="514" t="s">
        <v>1083</v>
      </c>
      <c r="D148" s="517"/>
      <c r="E148" s="517"/>
      <c r="F148" s="517"/>
      <c r="G148" s="517"/>
      <c r="H148" s="517"/>
      <c r="I148" s="517"/>
      <c r="J148" s="517"/>
      <c r="K148" s="514">
        <v>25.2</v>
      </c>
    </row>
    <row r="149" spans="1:11" x14ac:dyDescent="0.25">
      <c r="A149" s="514" t="s">
        <v>817</v>
      </c>
      <c r="B149" s="514">
        <v>3</v>
      </c>
      <c r="C149" s="514" t="s">
        <v>1000</v>
      </c>
      <c r="D149" s="517"/>
      <c r="E149" s="517"/>
      <c r="F149" s="517"/>
      <c r="G149" s="517"/>
      <c r="H149" s="517"/>
      <c r="I149" s="517"/>
      <c r="J149" s="517"/>
      <c r="K149" s="514">
        <v>32.200000000000003</v>
      </c>
    </row>
    <row r="150" spans="1:11" x14ac:dyDescent="0.25">
      <c r="A150" s="514" t="s">
        <v>818</v>
      </c>
      <c r="B150" s="514">
        <v>3</v>
      </c>
      <c r="C150" s="514" t="s">
        <v>1084</v>
      </c>
      <c r="D150" s="517"/>
      <c r="E150" s="517"/>
      <c r="F150" s="517"/>
      <c r="G150" s="517"/>
      <c r="H150" s="517"/>
      <c r="I150" s="517"/>
      <c r="J150" s="517"/>
      <c r="K150" s="514">
        <v>40.799999999999997</v>
      </c>
    </row>
    <row r="151" spans="1:11" x14ac:dyDescent="0.25">
      <c r="A151" s="514" t="s">
        <v>819</v>
      </c>
      <c r="B151" s="514">
        <v>3</v>
      </c>
      <c r="C151" s="514" t="s">
        <v>1085</v>
      </c>
      <c r="D151" s="517"/>
      <c r="E151" s="517"/>
      <c r="F151" s="517"/>
      <c r="G151" s="517"/>
      <c r="H151" s="517"/>
      <c r="I151" s="517"/>
      <c r="J151" s="517"/>
      <c r="K151" s="514">
        <v>28.7</v>
      </c>
    </row>
    <row r="152" spans="1:11" x14ac:dyDescent="0.25">
      <c r="A152" s="514" t="s">
        <v>820</v>
      </c>
      <c r="B152" s="514">
        <v>2</v>
      </c>
      <c r="C152" s="514" t="s">
        <v>1086</v>
      </c>
      <c r="D152" s="517"/>
      <c r="E152" s="517"/>
      <c r="F152" s="517"/>
      <c r="G152" s="517"/>
      <c r="H152" s="517"/>
      <c r="I152" s="517"/>
      <c r="J152" s="517"/>
      <c r="K152" s="514">
        <v>50.8</v>
      </c>
    </row>
    <row r="153" spans="1:11" x14ac:dyDescent="0.25">
      <c r="A153" s="514" t="s">
        <v>821</v>
      </c>
      <c r="B153" s="514">
        <v>2</v>
      </c>
      <c r="C153" s="514" t="s">
        <v>1087</v>
      </c>
      <c r="D153" s="517"/>
      <c r="E153" s="517"/>
      <c r="F153" s="517"/>
      <c r="G153" s="517"/>
      <c r="H153" s="517"/>
      <c r="I153" s="517"/>
      <c r="J153" s="517"/>
      <c r="K153" s="514">
        <v>63.9</v>
      </c>
    </row>
    <row r="154" spans="1:11" x14ac:dyDescent="0.25">
      <c r="A154" s="514" t="s">
        <v>822</v>
      </c>
      <c r="B154" s="514">
        <v>2</v>
      </c>
      <c r="C154" s="514" t="s">
        <v>1001</v>
      </c>
      <c r="D154" s="517"/>
      <c r="E154" s="517"/>
      <c r="F154" s="517"/>
      <c r="G154" s="517"/>
      <c r="H154" s="517"/>
      <c r="I154" s="517"/>
      <c r="J154" s="517"/>
      <c r="K154" s="514">
        <v>25.1</v>
      </c>
    </row>
    <row r="155" spans="1:11" x14ac:dyDescent="0.25">
      <c r="A155" s="514" t="s">
        <v>823</v>
      </c>
      <c r="B155" s="514">
        <v>3</v>
      </c>
      <c r="C155" s="514" t="s">
        <v>1004</v>
      </c>
      <c r="D155" s="517"/>
      <c r="E155" s="517"/>
      <c r="F155" s="517"/>
      <c r="G155" s="517"/>
      <c r="H155" s="517"/>
      <c r="I155" s="517"/>
      <c r="J155" s="517"/>
      <c r="K155" s="514"/>
    </row>
    <row r="156" spans="1:11" x14ac:dyDescent="0.25">
      <c r="A156" s="514" t="s">
        <v>824</v>
      </c>
      <c r="B156" s="514">
        <v>3</v>
      </c>
      <c r="C156" s="514" t="s">
        <v>1090</v>
      </c>
      <c r="D156" s="517"/>
      <c r="E156" s="517"/>
      <c r="F156" s="517"/>
      <c r="G156" s="517"/>
      <c r="H156" s="517"/>
      <c r="I156" s="517"/>
      <c r="J156" s="517"/>
      <c r="K156" s="514">
        <v>67.099999999999994</v>
      </c>
    </row>
    <row r="157" spans="1:11" x14ac:dyDescent="0.25">
      <c r="A157" s="514" t="s">
        <v>825</v>
      </c>
      <c r="B157" s="514">
        <v>1</v>
      </c>
      <c r="C157" s="514" t="s">
        <v>1088</v>
      </c>
      <c r="D157" s="517"/>
      <c r="E157" s="517"/>
      <c r="F157" s="517"/>
      <c r="G157" s="517"/>
      <c r="H157" s="517"/>
      <c r="I157" s="517"/>
      <c r="J157" s="517"/>
      <c r="K157" s="514">
        <v>24.2</v>
      </c>
    </row>
    <row r="158" spans="1:11" x14ac:dyDescent="0.25">
      <c r="A158" s="514" t="s">
        <v>57</v>
      </c>
      <c r="B158" s="514">
        <v>2</v>
      </c>
      <c r="C158" s="514" t="s">
        <v>1089</v>
      </c>
      <c r="D158" s="517"/>
      <c r="E158" s="517"/>
      <c r="F158" s="517"/>
      <c r="G158" s="517"/>
      <c r="H158" s="517"/>
      <c r="I158" s="517"/>
      <c r="J158" s="517"/>
      <c r="K158" s="514">
        <v>23.7</v>
      </c>
    </row>
    <row r="159" spans="1:11" x14ac:dyDescent="0.25">
      <c r="A159" s="514" t="s">
        <v>826</v>
      </c>
      <c r="B159" s="514">
        <v>2</v>
      </c>
      <c r="C159" s="514" t="s">
        <v>1002</v>
      </c>
      <c r="D159" s="517"/>
      <c r="E159" s="517"/>
      <c r="F159" s="517"/>
      <c r="G159" s="517"/>
      <c r="H159" s="517"/>
      <c r="I159" s="517"/>
      <c r="J159" s="517"/>
      <c r="K159" s="516">
        <v>30.6</v>
      </c>
    </row>
    <row r="161" spans="1:1" x14ac:dyDescent="0.25">
      <c r="A161" s="471" t="s">
        <v>1155</v>
      </c>
    </row>
    <row r="162" spans="1:1" x14ac:dyDescent="0.25">
      <c r="A162" s="473" t="s">
        <v>676</v>
      </c>
    </row>
    <row r="163" spans="1:1" x14ac:dyDescent="0.25">
      <c r="A163" s="473" t="s">
        <v>1156</v>
      </c>
    </row>
    <row r="164" spans="1:1" x14ac:dyDescent="0.25">
      <c r="A164" s="473" t="s">
        <v>1157</v>
      </c>
    </row>
    <row r="165" spans="1:1" x14ac:dyDescent="0.25">
      <c r="A165" s="473" t="s">
        <v>1158</v>
      </c>
    </row>
    <row r="166" spans="1:1" x14ac:dyDescent="0.25">
      <c r="A166" s="471"/>
    </row>
  </sheetData>
  <sheetProtection formatCells="0" formatColumns="0" formatRows="0"/>
  <hyperlinks>
    <hyperlink ref="A163" r:id="rId1" xr:uid="{00000000-0004-0000-1700-000000000000}"/>
    <hyperlink ref="A162" r:id="rId2" xr:uid="{00000000-0004-0000-1700-000001000000}"/>
    <hyperlink ref="A164" r:id="rId3" xr:uid="{00000000-0004-0000-1700-000002000000}"/>
    <hyperlink ref="A165" r:id="rId4" xr:uid="{00000000-0004-0000-1700-000003000000}"/>
  </hyperlinks>
  <pageMargins left="0.7" right="0.7" top="0.75" bottom="0.75" header="0.3" footer="0.3"/>
  <tableParts count="1">
    <tablePart r:id="rId5"/>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0563C1"/>
  </sheetPr>
  <dimension ref="A1:F35"/>
  <sheetViews>
    <sheetView zoomScaleNormal="100" workbookViewId="0">
      <selection activeCell="B3" sqref="B3"/>
    </sheetView>
  </sheetViews>
  <sheetFormatPr defaultColWidth="8.7109375" defaultRowHeight="15" x14ac:dyDescent="0.25"/>
  <cols>
    <col min="1" max="1" width="13.28515625" style="315" customWidth="1"/>
    <col min="2" max="2" width="25.28515625" style="315" customWidth="1"/>
    <col min="3" max="3" width="18.7109375" style="315" customWidth="1"/>
    <col min="4" max="4" width="17.28515625" style="315" bestFit="1" customWidth="1"/>
    <col min="5" max="5" width="16.28515625" style="315" customWidth="1"/>
    <col min="6" max="16384" width="8.7109375" style="315"/>
  </cols>
  <sheetData>
    <row r="1" spans="1:4" ht="8.65" customHeight="1" thickBot="1" x14ac:dyDescent="0.3"/>
    <row r="2" spans="1:4" ht="15.75" thickBot="1" x14ac:dyDescent="0.3">
      <c r="A2" s="520" t="s">
        <v>1146</v>
      </c>
      <c r="B2" s="521">
        <f>'Ambito de Implementação'!C7</f>
        <v>0</v>
      </c>
    </row>
    <row r="3" spans="1:4" x14ac:dyDescent="0.25">
      <c r="A3" s="557" t="s">
        <v>1145</v>
      </c>
    </row>
    <row r="4" spans="1:4" ht="128.65" customHeight="1" x14ac:dyDescent="0.25">
      <c r="A4" s="977" t="s">
        <v>1347</v>
      </c>
      <c r="B4" s="977"/>
      <c r="C4" s="977"/>
      <c r="D4" s="977"/>
    </row>
    <row r="5" spans="1:4" ht="15.75" thickBot="1" x14ac:dyDescent="0.3"/>
    <row r="6" spans="1:4" x14ac:dyDescent="0.25">
      <c r="A6" s="978" t="s">
        <v>1172</v>
      </c>
      <c r="B6" s="979"/>
      <c r="C6" s="979"/>
      <c r="D6" s="980"/>
    </row>
    <row r="7" spans="1:4" x14ac:dyDescent="0.25">
      <c r="A7" s="545" t="s">
        <v>1168</v>
      </c>
      <c r="B7" s="518" t="s">
        <v>1169</v>
      </c>
      <c r="C7" s="518" t="s">
        <v>1170</v>
      </c>
      <c r="D7" s="546" t="s">
        <v>1171</v>
      </c>
    </row>
    <row r="8" spans="1:4" ht="30" x14ac:dyDescent="0.25">
      <c r="A8" s="547" t="s">
        <v>1161</v>
      </c>
      <c r="B8" s="519" t="s">
        <v>1144</v>
      </c>
      <c r="C8" s="538" t="e">
        <f>((INDEX(Table1[Multiplier],MATCH('Salary input data '!B2,Table1[Country],0))*C23)/100)+C23</f>
        <v>#N/A</v>
      </c>
      <c r="D8" s="548" t="e">
        <f>((INDEX(Table1[Multiplier],MATCH('Salary input data '!B2,Table1[Country],0))*C24)/100)+C24</f>
        <v>#N/A</v>
      </c>
    </row>
    <row r="9" spans="1:4" ht="44.65" customHeight="1" x14ac:dyDescent="0.25">
      <c r="A9" s="547" t="s">
        <v>1163</v>
      </c>
      <c r="B9" s="519" t="s">
        <v>1143</v>
      </c>
      <c r="C9" s="538" t="e">
        <f>((INDEX(Table1[Multiplier],MATCH('Salary input data '!B2,Table1[Country],0))*C24)/100)+C24</f>
        <v>#N/A</v>
      </c>
      <c r="D9" s="548" t="e">
        <f>((INDEX(Table1[Multiplier],MATCH('Salary input data '!B2,Table1[Country],0))*C25)/100)+C25</f>
        <v>#N/A</v>
      </c>
    </row>
    <row r="10" spans="1:4" ht="30" x14ac:dyDescent="0.25">
      <c r="A10" s="547" t="s">
        <v>1166</v>
      </c>
      <c r="B10" s="519" t="s">
        <v>1142</v>
      </c>
      <c r="C10" s="538" t="e">
        <f>((INDEX(Table1[Multiplier],MATCH('Salary input data '!B2,Table1[Country],0))*C27)/100)+C27</f>
        <v>#N/A</v>
      </c>
      <c r="D10" s="548" t="e">
        <f>((INDEX(Table1[Multiplier],MATCH('Salary input data '!B2,Table1[Country],0))*C28)/100)+C28</f>
        <v>#N/A</v>
      </c>
    </row>
    <row r="11" spans="1:4" ht="43.15" customHeight="1" x14ac:dyDescent="0.25">
      <c r="A11" s="547" t="s">
        <v>1272</v>
      </c>
      <c r="B11" s="519" t="s">
        <v>1142</v>
      </c>
      <c r="C11" s="538" t="e">
        <f>((INDEX(Table1[Multiplier],MATCH('Salary input data '!B2,Table1[Country],0))*C27)/100)+C27</f>
        <v>#N/A</v>
      </c>
      <c r="D11" s="548" t="e">
        <f>((INDEX(Table1[Multiplier],MATCH('Salary input data '!B2,Table1[Country],0))*C28)/100)+C28</f>
        <v>#N/A</v>
      </c>
    </row>
    <row r="12" spans="1:4" ht="30" x14ac:dyDescent="0.25">
      <c r="A12" s="547" t="s">
        <v>1167</v>
      </c>
      <c r="B12" s="519" t="s">
        <v>1142</v>
      </c>
      <c r="C12" s="538" t="e">
        <f>((INDEX(Table1[Multiplier],MATCH('Salary input data '!B2,Table1[Country],0))*C27)/100)+C27</f>
        <v>#N/A</v>
      </c>
      <c r="D12" s="548" t="e">
        <f>((INDEX(Table1[Multiplier],MATCH('Salary input data '!B2,Table1[Country],0))*C28)/100)+C28</f>
        <v>#N/A</v>
      </c>
    </row>
    <row r="13" spans="1:4" ht="30" x14ac:dyDescent="0.25">
      <c r="A13" s="547" t="s">
        <v>1162</v>
      </c>
      <c r="B13" s="519" t="s">
        <v>1142</v>
      </c>
      <c r="C13" s="538" t="e">
        <f>((INDEX(Table1[Multiplier],MATCH('Salary input data '!B2,Table1[Country],0))*C27)/100)+C27</f>
        <v>#N/A</v>
      </c>
      <c r="D13" s="548" t="e">
        <f>((INDEX(Table1[Multiplier],MATCH('Salary input data '!B2,Table1[Country],0))*C28)/100)+C28</f>
        <v>#N/A</v>
      </c>
    </row>
    <row r="14" spans="1:4" ht="30" x14ac:dyDescent="0.25">
      <c r="A14" s="547" t="s">
        <v>1160</v>
      </c>
      <c r="B14" s="519" t="s">
        <v>1141</v>
      </c>
      <c r="C14" s="538" t="e">
        <f>((INDEX(Table1[Multiplier],MATCH('Salary input data '!B2,Table1[Country],0))*C29)/100)+C29</f>
        <v>#N/A</v>
      </c>
      <c r="D14" s="548" t="e">
        <f>((INDEX(Table1[Multiplier],MATCH('Salary input data '!B2,Table1[Country],0))*C30)/100)+C30</f>
        <v>#N/A</v>
      </c>
    </row>
    <row r="15" spans="1:4" ht="30" x14ac:dyDescent="0.25">
      <c r="A15" s="547" t="s">
        <v>1165</v>
      </c>
      <c r="B15" s="519" t="s">
        <v>1141</v>
      </c>
      <c r="C15" s="538" t="e">
        <f>((INDEX(Table1[Multiplier],MATCH('Salary input data '!B2,Table1[Country],0))*C29)/100)+C29</f>
        <v>#N/A</v>
      </c>
      <c r="D15" s="548" t="e">
        <f>((INDEX(Table1[Multiplier],MATCH('Salary input data '!B2,Table1[Country],0))*C30)/100)+C30</f>
        <v>#N/A</v>
      </c>
    </row>
    <row r="16" spans="1:4" ht="45" x14ac:dyDescent="0.25">
      <c r="A16" s="547" t="s">
        <v>1273</v>
      </c>
      <c r="B16" s="519" t="s">
        <v>1141</v>
      </c>
      <c r="C16" s="538" t="e">
        <f>((INDEX(Table1[Multiplier],MATCH('Salary input data '!B2,Table1[Country],0))*C29)/100)+C29</f>
        <v>#N/A</v>
      </c>
      <c r="D16" s="548" t="e">
        <f>((INDEX(Table1[Multiplier],MATCH('Salary input data '!B2,Table1[Country],0))*C30)/100)+C30</f>
        <v>#N/A</v>
      </c>
    </row>
    <row r="17" spans="1:6" ht="30" x14ac:dyDescent="0.25">
      <c r="A17" s="547" t="s">
        <v>1159</v>
      </c>
      <c r="B17" s="519" t="s">
        <v>1141</v>
      </c>
      <c r="C17" s="538" t="e">
        <f>((INDEX(Table1[Multiplier],MATCH('Salary input data '!B2,Table1[Country],0))*C29)/100)+C29</f>
        <v>#N/A</v>
      </c>
      <c r="D17" s="548" t="e">
        <f>((INDEX(Table1[Multiplier],MATCH('Salary input data '!B2,Table1[Country],0))*C30)/100)+C30</f>
        <v>#N/A</v>
      </c>
    </row>
    <row r="18" spans="1:6" ht="30.75" thickBot="1" x14ac:dyDescent="0.3">
      <c r="A18" s="549" t="s">
        <v>1164</v>
      </c>
      <c r="B18" s="550" t="s">
        <v>1141</v>
      </c>
      <c r="C18" s="551" t="e">
        <f>((INDEX(Table1[Multiplier],MATCH('Salary input data '!B2,Table1[Country],0))*C29)/100)+C29</f>
        <v>#N/A</v>
      </c>
      <c r="D18" s="552" t="e">
        <f>((INDEX(Table1[Multiplier],MATCH('Salary input data '!B2,Table1[Country],0))*C30)/100)+C30</f>
        <v>#N/A</v>
      </c>
    </row>
    <row r="20" spans="1:6" x14ac:dyDescent="0.25">
      <c r="A20" s="984" t="s">
        <v>1270</v>
      </c>
      <c r="B20" s="985"/>
      <c r="C20" s="985"/>
      <c r="D20" s="985"/>
      <c r="E20" s="985"/>
    </row>
    <row r="21" spans="1:6" ht="45" x14ac:dyDescent="0.25">
      <c r="A21" s="536"/>
      <c r="B21" s="519" t="s">
        <v>1265</v>
      </c>
      <c r="C21" s="519" t="s">
        <v>1345</v>
      </c>
      <c r="D21" s="519" t="s">
        <v>1343</v>
      </c>
      <c r="E21" s="519" t="s">
        <v>1346</v>
      </c>
      <c r="F21" s="479"/>
    </row>
    <row r="22" spans="1:6" x14ac:dyDescent="0.25">
      <c r="A22" s="542" t="s">
        <v>1271</v>
      </c>
      <c r="B22" s="582"/>
      <c r="C22" s="582"/>
      <c r="D22" s="582"/>
      <c r="E22" s="584"/>
      <c r="F22" s="479"/>
    </row>
    <row r="23" spans="1:6" ht="45" x14ac:dyDescent="0.25">
      <c r="A23" s="581" t="s">
        <v>1274</v>
      </c>
      <c r="B23" s="591" t="s">
        <v>70</v>
      </c>
      <c r="C23" s="592">
        <v>31255.020993999999</v>
      </c>
      <c r="D23" s="583" t="e">
        <f>((INDEX(Table1[Multiplier],MATCH('Salary input data '!$B$2,Table1[Country],0))/100))</f>
        <v>#N/A</v>
      </c>
      <c r="E23" s="563" t="e">
        <f>(C23*D23)+C23</f>
        <v>#N/A</v>
      </c>
      <c r="F23" s="479"/>
    </row>
    <row r="24" spans="1:6" ht="45" x14ac:dyDescent="0.25">
      <c r="A24" s="519" t="s">
        <v>1275</v>
      </c>
      <c r="B24" s="593" t="s">
        <v>70</v>
      </c>
      <c r="C24" s="594">
        <v>37656.6518</v>
      </c>
      <c r="D24" s="583" t="e">
        <f>((INDEX(Table1[Multiplier],MATCH('Salary input data '!$B$2,Table1[Country],0))/100))</f>
        <v>#N/A</v>
      </c>
      <c r="E24" s="563" t="e">
        <f>(C24*D24)+C24</f>
        <v>#N/A</v>
      </c>
      <c r="F24" s="479"/>
    </row>
    <row r="25" spans="1:6" ht="60" x14ac:dyDescent="0.25">
      <c r="A25" s="519" t="s">
        <v>1276</v>
      </c>
      <c r="B25" s="593" t="s">
        <v>70</v>
      </c>
      <c r="C25" s="594">
        <v>45369.46</v>
      </c>
      <c r="D25" s="583" t="e">
        <f>((INDEX(Table1[Multiplier],MATCH('Salary input data '!$B$2,Table1[Country],0))/100))</f>
        <v>#N/A</v>
      </c>
      <c r="E25" s="563" t="e">
        <f>(C25*D25)+C25</f>
        <v>#N/A</v>
      </c>
      <c r="F25" s="479"/>
    </row>
    <row r="26" spans="1:6" ht="14.65" customHeight="1" x14ac:dyDescent="0.25">
      <c r="A26" s="542" t="s">
        <v>1264</v>
      </c>
      <c r="B26" s="595"/>
      <c r="C26" s="595"/>
      <c r="D26" s="543"/>
      <c r="E26" s="544"/>
      <c r="F26" s="479"/>
    </row>
    <row r="27" spans="1:6" x14ac:dyDescent="0.25">
      <c r="A27" s="981" t="s">
        <v>1267</v>
      </c>
      <c r="B27" s="596" t="s">
        <v>1173</v>
      </c>
      <c r="C27" s="597">
        <v>54662</v>
      </c>
      <c r="D27" s="585" t="e">
        <f>((INDEX(Table1[Multiplier],MATCH('Salary input data '!$B$2,Table1[Country],0))/100))</f>
        <v>#N/A</v>
      </c>
      <c r="E27" s="588" t="e">
        <f>(C27*D27)+C27</f>
        <v>#N/A</v>
      </c>
      <c r="F27" s="479"/>
    </row>
    <row r="28" spans="1:6" x14ac:dyDescent="0.25">
      <c r="A28" s="982"/>
      <c r="B28" s="598" t="s">
        <v>1174</v>
      </c>
      <c r="C28" s="599">
        <v>70268</v>
      </c>
      <c r="D28" s="586" t="e">
        <f>((INDEX(Table1[Multiplier],MATCH('Salary input data '!$B$2,Table1[Country],0))/100))</f>
        <v>#N/A</v>
      </c>
      <c r="E28" s="589" t="e">
        <f>(C28*D28)+C28</f>
        <v>#N/A</v>
      </c>
      <c r="F28" s="479"/>
    </row>
    <row r="29" spans="1:6" x14ac:dyDescent="0.25">
      <c r="A29" s="982"/>
      <c r="B29" s="598" t="s">
        <v>1175</v>
      </c>
      <c r="C29" s="599">
        <v>89039</v>
      </c>
      <c r="D29" s="586" t="e">
        <f>((INDEX(Table1[Multiplier],MATCH('Salary input data '!$B$2,Table1[Country],0))/100))</f>
        <v>#N/A</v>
      </c>
      <c r="E29" s="589" t="e">
        <f>(C29*D29)+C29</f>
        <v>#N/A</v>
      </c>
    </row>
    <row r="30" spans="1:6" x14ac:dyDescent="0.25">
      <c r="A30" s="983"/>
      <c r="B30" s="600" t="s">
        <v>1176</v>
      </c>
      <c r="C30" s="601">
        <v>107420</v>
      </c>
      <c r="D30" s="587" t="e">
        <f>((INDEX(Table1[Multiplier],MATCH('Salary input data '!$B$2,Table1[Country],0))/100))</f>
        <v>#N/A</v>
      </c>
      <c r="E30" s="590" t="e">
        <f>(C30*D30)+C30</f>
        <v>#N/A</v>
      </c>
    </row>
    <row r="31" spans="1:6" x14ac:dyDescent="0.25">
      <c r="A31" s="471" t="s">
        <v>1344</v>
      </c>
      <c r="C31" s="580"/>
    </row>
    <row r="33" spans="1:1" x14ac:dyDescent="0.25">
      <c r="A33" s="471" t="s">
        <v>1155</v>
      </c>
    </row>
    <row r="34" spans="1:1" x14ac:dyDescent="0.25">
      <c r="A34" s="473" t="s">
        <v>1157</v>
      </c>
    </row>
    <row r="35" spans="1:1" x14ac:dyDescent="0.25">
      <c r="A35" s="473" t="s">
        <v>1158</v>
      </c>
    </row>
  </sheetData>
  <sheetProtection formatCells="0" formatColumns="0" formatRows="0"/>
  <mergeCells count="4">
    <mergeCell ref="A4:D4"/>
    <mergeCell ref="A6:D6"/>
    <mergeCell ref="A27:A30"/>
    <mergeCell ref="A20:E20"/>
  </mergeCells>
  <hyperlinks>
    <hyperlink ref="A34" r:id="rId1" xr:uid="{00000000-0004-0000-1800-000000000000}"/>
    <hyperlink ref="A35" r:id="rId2" xr:uid="{00000000-0004-0000-1800-000001000000}"/>
  </hyperlinks>
  <pageMargins left="0.7" right="0.7" top="0.75" bottom="0.75" header="0.3" footer="0.3"/>
  <ignoredErrors>
    <ignoredError sqref="C13:D13" formula="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C45"/>
  <sheetViews>
    <sheetView topLeftCell="A10" workbookViewId="0">
      <selection activeCell="C23" sqref="C23"/>
    </sheetView>
  </sheetViews>
  <sheetFormatPr defaultColWidth="8.7109375" defaultRowHeight="15" x14ac:dyDescent="0.25"/>
  <cols>
    <col min="1" max="1" width="26.28515625" customWidth="1"/>
    <col min="2" max="2" width="62.7109375" style="288" customWidth="1"/>
    <col min="3" max="3" width="74.28515625" customWidth="1"/>
  </cols>
  <sheetData>
    <row r="1" spans="1:3" x14ac:dyDescent="0.25">
      <c r="A1" s="291" t="s">
        <v>252</v>
      </c>
      <c r="B1" s="292"/>
      <c r="C1" s="291" t="s">
        <v>261</v>
      </c>
    </row>
    <row r="2" spans="1:3" x14ac:dyDescent="0.25">
      <c r="A2" s="986" t="s">
        <v>251</v>
      </c>
      <c r="B2" s="986"/>
      <c r="C2" s="986"/>
    </row>
    <row r="3" spans="1:3" x14ac:dyDescent="0.25">
      <c r="A3" t="s">
        <v>253</v>
      </c>
    </row>
    <row r="4" spans="1:3" ht="60" x14ac:dyDescent="0.25">
      <c r="B4" s="288" t="s">
        <v>272</v>
      </c>
      <c r="C4" s="288" t="s">
        <v>270</v>
      </c>
    </row>
    <row r="5" spans="1:3" ht="60" x14ac:dyDescent="0.25">
      <c r="B5" s="288" t="s">
        <v>273</v>
      </c>
      <c r="C5" s="288" t="s">
        <v>271</v>
      </c>
    </row>
    <row r="6" spans="1:3" x14ac:dyDescent="0.25">
      <c r="B6" s="288" t="s">
        <v>254</v>
      </c>
    </row>
    <row r="7" spans="1:3" x14ac:dyDescent="0.25">
      <c r="B7" s="288" t="s">
        <v>255</v>
      </c>
    </row>
    <row r="8" spans="1:3" x14ac:dyDescent="0.25">
      <c r="B8" s="288" t="s">
        <v>256</v>
      </c>
    </row>
    <row r="9" spans="1:3" x14ac:dyDescent="0.25">
      <c r="B9" s="288" t="s">
        <v>257</v>
      </c>
    </row>
    <row r="10" spans="1:3" x14ac:dyDescent="0.25">
      <c r="B10" s="288" t="s">
        <v>274</v>
      </c>
    </row>
    <row r="11" spans="1:3" x14ac:dyDescent="0.25">
      <c r="B11" s="288" t="s">
        <v>258</v>
      </c>
    </row>
    <row r="12" spans="1:3" x14ac:dyDescent="0.25">
      <c r="A12" s="293"/>
      <c r="B12" s="294" t="s">
        <v>275</v>
      </c>
      <c r="C12" s="293"/>
    </row>
    <row r="13" spans="1:3" x14ac:dyDescent="0.25">
      <c r="A13" s="295" t="s">
        <v>259</v>
      </c>
      <c r="B13" s="296"/>
      <c r="C13" s="295"/>
    </row>
    <row r="14" spans="1:3" x14ac:dyDescent="0.25">
      <c r="B14" s="288" t="s">
        <v>262</v>
      </c>
      <c r="C14" t="s">
        <v>382</v>
      </c>
    </row>
    <row r="15" spans="1:3" x14ac:dyDescent="0.25">
      <c r="B15" s="288" t="s">
        <v>263</v>
      </c>
    </row>
    <row r="16" spans="1:3" ht="60" x14ac:dyDescent="0.25">
      <c r="B16" s="288" t="s">
        <v>264</v>
      </c>
      <c r="C16" s="288" t="s">
        <v>465</v>
      </c>
    </row>
    <row r="17" spans="1:3" x14ac:dyDescent="0.25">
      <c r="A17" s="987" t="s">
        <v>276</v>
      </c>
      <c r="B17" s="987"/>
      <c r="C17" s="987"/>
    </row>
    <row r="18" spans="1:3" ht="30" x14ac:dyDescent="0.25">
      <c r="B18" s="288" t="s">
        <v>265</v>
      </c>
      <c r="C18" s="288" t="s">
        <v>266</v>
      </c>
    </row>
    <row r="19" spans="1:3" x14ac:dyDescent="0.25">
      <c r="B19" s="288" t="s">
        <v>267</v>
      </c>
    </row>
    <row r="20" spans="1:3" x14ac:dyDescent="0.25">
      <c r="B20" s="288" t="s">
        <v>268</v>
      </c>
      <c r="C20" t="s">
        <v>269</v>
      </c>
    </row>
    <row r="21" spans="1:3" x14ac:dyDescent="0.25">
      <c r="B21" s="288" t="s">
        <v>352</v>
      </c>
      <c r="C21" t="s">
        <v>353</v>
      </c>
    </row>
    <row r="22" spans="1:3" ht="75" x14ac:dyDescent="0.25">
      <c r="B22" s="288" t="s">
        <v>387</v>
      </c>
      <c r="C22" s="288" t="s">
        <v>405</v>
      </c>
    </row>
    <row r="23" spans="1:3" ht="120" x14ac:dyDescent="0.25">
      <c r="B23" s="288" t="s">
        <v>403</v>
      </c>
      <c r="C23" s="288" t="s">
        <v>404</v>
      </c>
    </row>
    <row r="24" spans="1:3" ht="75" x14ac:dyDescent="0.25">
      <c r="B24" s="288" t="s">
        <v>401</v>
      </c>
      <c r="C24" s="288" t="s">
        <v>402</v>
      </c>
    </row>
    <row r="25" spans="1:3" ht="120" x14ac:dyDescent="0.25">
      <c r="A25" s="293"/>
      <c r="B25" s="294" t="s">
        <v>260</v>
      </c>
      <c r="C25" s="294" t="s">
        <v>383</v>
      </c>
    </row>
    <row r="26" spans="1:3" x14ac:dyDescent="0.25">
      <c r="A26" s="986" t="s">
        <v>277</v>
      </c>
      <c r="B26" s="986"/>
      <c r="C26" s="986"/>
    </row>
    <row r="27" spans="1:3" ht="90" x14ac:dyDescent="0.25">
      <c r="A27" s="297" t="s">
        <v>409</v>
      </c>
      <c r="B27" s="298" t="s">
        <v>393</v>
      </c>
      <c r="C27" s="298" t="s">
        <v>391</v>
      </c>
    </row>
    <row r="28" spans="1:3" ht="30" x14ac:dyDescent="0.25">
      <c r="A28" s="288" t="s">
        <v>421</v>
      </c>
      <c r="B28" s="288" t="s">
        <v>410</v>
      </c>
      <c r="C28" s="288" t="s">
        <v>394</v>
      </c>
    </row>
    <row r="29" spans="1:3" x14ac:dyDescent="0.25">
      <c r="A29" s="289"/>
      <c r="B29" s="288" t="s">
        <v>411</v>
      </c>
      <c r="C29" s="288" t="s">
        <v>392</v>
      </c>
    </row>
    <row r="30" spans="1:3" ht="30" x14ac:dyDescent="0.25">
      <c r="A30" s="289"/>
      <c r="B30" s="288" t="s">
        <v>412</v>
      </c>
      <c r="C30" s="288" t="s">
        <v>395</v>
      </c>
    </row>
    <row r="31" spans="1:3" ht="60" x14ac:dyDescent="0.25">
      <c r="A31" s="289"/>
      <c r="B31" s="288" t="s">
        <v>413</v>
      </c>
      <c r="C31" s="288" t="s">
        <v>396</v>
      </c>
    </row>
    <row r="32" spans="1:3" ht="30" x14ac:dyDescent="0.25">
      <c r="A32" s="289"/>
      <c r="B32" s="288" t="s">
        <v>414</v>
      </c>
      <c r="C32" s="288" t="s">
        <v>397</v>
      </c>
    </row>
    <row r="33" spans="1:3" ht="90" x14ac:dyDescent="0.25">
      <c r="A33" s="289"/>
      <c r="B33" s="288" t="s">
        <v>415</v>
      </c>
      <c r="C33" s="288" t="s">
        <v>398</v>
      </c>
    </row>
    <row r="34" spans="1:3" ht="30" x14ac:dyDescent="0.25">
      <c r="A34" s="289"/>
      <c r="B34" s="288" t="s">
        <v>416</v>
      </c>
      <c r="C34" s="288" t="s">
        <v>400</v>
      </c>
    </row>
    <row r="35" spans="1:3" ht="45" x14ac:dyDescent="0.25">
      <c r="A35" s="289"/>
      <c r="B35" s="288" t="s">
        <v>417</v>
      </c>
      <c r="C35" s="288" t="s">
        <v>408</v>
      </c>
    </row>
    <row r="36" spans="1:3" x14ac:dyDescent="0.25">
      <c r="A36" s="289"/>
      <c r="B36" s="288" t="s">
        <v>418</v>
      </c>
      <c r="C36" s="288"/>
    </row>
    <row r="37" spans="1:3" x14ac:dyDescent="0.25">
      <c r="A37" s="289"/>
      <c r="B37" s="288" t="s">
        <v>419</v>
      </c>
      <c r="C37" s="288" t="s">
        <v>407</v>
      </c>
    </row>
    <row r="38" spans="1:3" ht="30" x14ac:dyDescent="0.25">
      <c r="A38" s="299"/>
      <c r="B38" s="294" t="s">
        <v>420</v>
      </c>
      <c r="C38" s="294" t="s">
        <v>406</v>
      </c>
    </row>
    <row r="39" spans="1:3" ht="45" x14ac:dyDescent="0.25">
      <c r="A39" s="294" t="s">
        <v>488</v>
      </c>
      <c r="B39" s="294" t="s">
        <v>489</v>
      </c>
      <c r="C39" s="294" t="s">
        <v>490</v>
      </c>
    </row>
    <row r="40" spans="1:3" ht="75" x14ac:dyDescent="0.25">
      <c r="A40" s="294" t="s">
        <v>422</v>
      </c>
      <c r="B40" s="294" t="s">
        <v>390</v>
      </c>
      <c r="C40" s="294" t="s">
        <v>388</v>
      </c>
    </row>
    <row r="41" spans="1:3" x14ac:dyDescent="0.25">
      <c r="A41" s="987" t="s">
        <v>389</v>
      </c>
      <c r="B41" s="987"/>
      <c r="C41" s="987"/>
    </row>
    <row r="42" spans="1:3" x14ac:dyDescent="0.25">
      <c r="A42" s="300"/>
      <c r="B42" s="298" t="s">
        <v>399</v>
      </c>
      <c r="C42" s="301"/>
    </row>
    <row r="43" spans="1:3" x14ac:dyDescent="0.25">
      <c r="A43" s="987" t="s">
        <v>384</v>
      </c>
      <c r="B43" s="987"/>
      <c r="C43" s="987"/>
    </row>
    <row r="44" spans="1:3" ht="30" x14ac:dyDescent="0.25">
      <c r="A44" t="s">
        <v>491</v>
      </c>
      <c r="B44" s="288" t="s">
        <v>385</v>
      </c>
      <c r="C44" s="288" t="s">
        <v>386</v>
      </c>
    </row>
    <row r="45" spans="1:3" ht="30" x14ac:dyDescent="0.25">
      <c r="A45" s="288" t="s">
        <v>494</v>
      </c>
      <c r="B45" s="288" t="s">
        <v>495</v>
      </c>
      <c r="C45" t="s">
        <v>496</v>
      </c>
    </row>
  </sheetData>
  <mergeCells count="5">
    <mergeCell ref="A2:C2"/>
    <mergeCell ref="A17:C17"/>
    <mergeCell ref="A26:C26"/>
    <mergeCell ref="A41:C41"/>
    <mergeCell ref="A43:C43"/>
  </mergeCells>
  <pageMargins left="0.7" right="0.7" top="0.75" bottom="0.75" header="0.3" footer="0.3"/>
  <pageSetup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0563C1"/>
  </sheetPr>
  <dimension ref="A1:F23"/>
  <sheetViews>
    <sheetView zoomScaleNormal="100" workbookViewId="0">
      <selection activeCell="K6" sqref="K6:K7"/>
    </sheetView>
  </sheetViews>
  <sheetFormatPr defaultColWidth="8.7109375" defaultRowHeight="15" x14ac:dyDescent="0.25"/>
  <cols>
    <col min="1" max="1" width="32.28515625" style="435" customWidth="1"/>
    <col min="2" max="2" width="27.7109375" style="315" customWidth="1"/>
    <col min="3" max="3" width="51.7109375" style="315" customWidth="1"/>
    <col min="4" max="4" width="31.28515625" style="315" bestFit="1" customWidth="1"/>
    <col min="5" max="16384" width="8.7109375" style="315"/>
  </cols>
  <sheetData>
    <row r="1" spans="1:6" x14ac:dyDescent="0.25">
      <c r="A1" s="510" t="s">
        <v>1097</v>
      </c>
      <c r="B1" s="510" t="s">
        <v>965</v>
      </c>
      <c r="C1" s="510" t="s">
        <v>1100</v>
      </c>
      <c r="D1" s="510" t="s">
        <v>1101</v>
      </c>
    </row>
    <row r="2" spans="1:6" x14ac:dyDescent="0.25">
      <c r="A2" s="366" t="s">
        <v>1098</v>
      </c>
      <c r="B2" s="511">
        <v>0.03</v>
      </c>
      <c r="C2" s="512" t="s">
        <v>933</v>
      </c>
      <c r="D2" s="539"/>
      <c r="E2" s="471"/>
      <c r="F2" s="471"/>
    </row>
    <row r="3" spans="1:6" ht="30" x14ac:dyDescent="0.25">
      <c r="A3" s="366" t="s">
        <v>1099</v>
      </c>
      <c r="B3" s="511">
        <v>0.2</v>
      </c>
      <c r="C3" s="512" t="s">
        <v>934</v>
      </c>
      <c r="D3" s="539"/>
      <c r="E3" s="471"/>
      <c r="F3" s="471"/>
    </row>
    <row r="4" spans="1:6" ht="30" x14ac:dyDescent="0.25">
      <c r="A4" s="366" t="s">
        <v>1102</v>
      </c>
      <c r="B4" s="366" t="s">
        <v>1104</v>
      </c>
      <c r="C4" s="539"/>
      <c r="D4" s="540" t="s">
        <v>1106</v>
      </c>
      <c r="E4" s="471"/>
      <c r="F4" s="471"/>
    </row>
    <row r="5" spans="1:6" ht="30" x14ac:dyDescent="0.25">
      <c r="A5" s="366"/>
      <c r="B5" s="366" t="s">
        <v>1103</v>
      </c>
      <c r="C5" s="539"/>
      <c r="D5" s="540" t="s">
        <v>1106</v>
      </c>
      <c r="E5" s="471"/>
      <c r="F5" s="471"/>
    </row>
    <row r="6" spans="1:6" ht="30" x14ac:dyDescent="0.25">
      <c r="A6" s="366"/>
      <c r="B6" s="366" t="s">
        <v>1105</v>
      </c>
      <c r="C6" s="539"/>
      <c r="D6" s="540" t="s">
        <v>1106</v>
      </c>
      <c r="E6" s="471"/>
      <c r="F6" s="471"/>
    </row>
    <row r="7" spans="1:6" ht="45" x14ac:dyDescent="0.25">
      <c r="A7" s="366" t="s">
        <v>1107</v>
      </c>
      <c r="B7" s="366" t="s">
        <v>1108</v>
      </c>
      <c r="C7" s="541" t="s">
        <v>1110</v>
      </c>
      <c r="D7" s="539"/>
      <c r="E7" s="471"/>
      <c r="F7" s="471"/>
    </row>
    <row r="8" spans="1:6" x14ac:dyDescent="0.25">
      <c r="A8" s="366"/>
      <c r="B8" s="366" t="s">
        <v>1109</v>
      </c>
      <c r="C8" s="539"/>
      <c r="D8" s="540" t="s">
        <v>1106</v>
      </c>
      <c r="E8" s="471"/>
      <c r="F8" s="471"/>
    </row>
    <row r="9" spans="1:6" x14ac:dyDescent="0.25">
      <c r="A9" s="366" t="s">
        <v>1112</v>
      </c>
      <c r="B9" s="366" t="s">
        <v>1113</v>
      </c>
      <c r="C9" s="539"/>
      <c r="D9" s="540" t="s">
        <v>1106</v>
      </c>
      <c r="E9" s="471"/>
      <c r="F9" s="471"/>
    </row>
    <row r="10" spans="1:6" x14ac:dyDescent="0.25">
      <c r="A10" s="366" t="s">
        <v>1114</v>
      </c>
      <c r="B10" s="366" t="s">
        <v>1113</v>
      </c>
      <c r="C10" s="539"/>
      <c r="D10" s="540" t="s">
        <v>1106</v>
      </c>
      <c r="E10" s="471"/>
      <c r="F10" s="471"/>
    </row>
    <row r="11" spans="1:6" ht="45" x14ac:dyDescent="0.25">
      <c r="A11" s="366" t="s">
        <v>1115</v>
      </c>
      <c r="B11" s="366" t="s">
        <v>1116</v>
      </c>
      <c r="C11" s="541" t="s">
        <v>1110</v>
      </c>
      <c r="D11" s="539"/>
      <c r="E11" s="471"/>
      <c r="F11" s="471"/>
    </row>
    <row r="12" spans="1:6" x14ac:dyDescent="0.25">
      <c r="A12" s="366" t="s">
        <v>1118</v>
      </c>
      <c r="B12" s="366" t="s">
        <v>1119</v>
      </c>
      <c r="C12" s="539"/>
      <c r="D12" s="540" t="s">
        <v>1106</v>
      </c>
      <c r="E12" s="471"/>
      <c r="F12" s="471"/>
    </row>
    <row r="13" spans="1:6" ht="30" x14ac:dyDescent="0.25">
      <c r="A13" s="366" t="s">
        <v>1120</v>
      </c>
      <c r="B13" s="513" t="s">
        <v>1121</v>
      </c>
      <c r="C13" s="512" t="s">
        <v>938</v>
      </c>
      <c r="D13" s="539"/>
      <c r="E13" s="471"/>
      <c r="F13" s="471"/>
    </row>
    <row r="14" spans="1:6" x14ac:dyDescent="0.25">
      <c r="A14" s="366" t="s">
        <v>1125</v>
      </c>
      <c r="B14" s="366" t="s">
        <v>1127</v>
      </c>
      <c r="C14" s="512" t="s">
        <v>938</v>
      </c>
      <c r="D14" s="539"/>
      <c r="E14" s="471"/>
      <c r="F14" s="471"/>
    </row>
    <row r="15" spans="1:6" x14ac:dyDescent="0.25">
      <c r="A15" s="366"/>
      <c r="B15" s="366" t="s">
        <v>1126</v>
      </c>
      <c r="C15" s="539"/>
      <c r="D15" s="540" t="s">
        <v>1106</v>
      </c>
      <c r="E15" s="471"/>
      <c r="F15" s="471"/>
    </row>
    <row r="16" spans="1:6" ht="30" x14ac:dyDescent="0.25">
      <c r="A16" s="366" t="s">
        <v>1136</v>
      </c>
      <c r="B16" s="366" t="s">
        <v>1137</v>
      </c>
      <c r="C16" s="512" t="s">
        <v>938</v>
      </c>
      <c r="D16" s="540"/>
      <c r="E16" s="471"/>
      <c r="F16" s="471"/>
    </row>
    <row r="17" spans="1:6" ht="30" x14ac:dyDescent="0.25">
      <c r="A17" s="366"/>
      <c r="B17" s="366" t="s">
        <v>1138</v>
      </c>
      <c r="C17" s="512"/>
      <c r="D17" s="540" t="s">
        <v>1106</v>
      </c>
      <c r="E17" s="471"/>
      <c r="F17" s="471"/>
    </row>
    <row r="18" spans="1:6" x14ac:dyDescent="0.25">
      <c r="A18" s="366" t="s">
        <v>1129</v>
      </c>
      <c r="B18" s="366" t="s">
        <v>1130</v>
      </c>
      <c r="C18" s="539"/>
      <c r="D18" s="540" t="s">
        <v>1131</v>
      </c>
      <c r="E18" s="471"/>
      <c r="F18" s="471"/>
    </row>
    <row r="19" spans="1:6" ht="30" x14ac:dyDescent="0.25">
      <c r="A19" s="366"/>
      <c r="B19" s="366" t="s">
        <v>1104</v>
      </c>
      <c r="C19" s="539"/>
      <c r="D19" s="540" t="s">
        <v>1106</v>
      </c>
      <c r="E19" s="471"/>
      <c r="F19" s="471"/>
    </row>
    <row r="20" spans="1:6" ht="30" x14ac:dyDescent="0.25">
      <c r="A20" s="366" t="s">
        <v>1140</v>
      </c>
      <c r="B20" s="366" t="s">
        <v>1104</v>
      </c>
      <c r="C20" s="539"/>
      <c r="D20" s="540" t="s">
        <v>1106</v>
      </c>
      <c r="E20" s="471"/>
      <c r="F20" s="471"/>
    </row>
    <row r="21" spans="1:6" ht="45" x14ac:dyDescent="0.25">
      <c r="A21" s="366"/>
      <c r="B21" s="366" t="s">
        <v>1134</v>
      </c>
      <c r="C21" s="539"/>
      <c r="D21" s="540" t="s">
        <v>1106</v>
      </c>
      <c r="E21" s="471"/>
      <c r="F21" s="471"/>
    </row>
    <row r="22" spans="1:6" ht="45" x14ac:dyDescent="0.25">
      <c r="A22" s="366"/>
      <c r="B22" s="366" t="s">
        <v>1135</v>
      </c>
      <c r="C22" s="539"/>
      <c r="D22" s="540" t="s">
        <v>1106</v>
      </c>
      <c r="E22" s="471"/>
      <c r="F22" s="471"/>
    </row>
    <row r="23" spans="1:6" x14ac:dyDescent="0.25">
      <c r="C23" s="471"/>
      <c r="D23" s="471"/>
      <c r="E23" s="471"/>
      <c r="F23" s="471"/>
    </row>
  </sheetData>
  <sheetProtection formatCells="0" formatColumns="0" formatRows="0"/>
  <hyperlinks>
    <hyperlink ref="C2" r:id="rId1" display="Suggested Source: Haacker, Hallett, and Atun (2020)" xr:uid="{00000000-0004-0000-1A00-000000000000}"/>
    <hyperlink ref="C3" r:id="rId2" xr:uid="{00000000-0004-0000-1A00-000001000000}"/>
    <hyperlink ref="D4" r:id="rId3" xr:uid="{00000000-0004-0000-1A00-000002000000}"/>
    <hyperlink ref="D5" r:id="rId4" xr:uid="{00000000-0004-0000-1A00-000003000000}"/>
    <hyperlink ref="D6" r:id="rId5" xr:uid="{00000000-0004-0000-1A00-000004000000}"/>
    <hyperlink ref="D8" r:id="rId6" xr:uid="{00000000-0004-0000-1A00-000005000000}"/>
    <hyperlink ref="C7" r:id="rId7" xr:uid="{00000000-0004-0000-1A00-000006000000}"/>
    <hyperlink ref="D9" r:id="rId8" xr:uid="{00000000-0004-0000-1A00-000007000000}"/>
    <hyperlink ref="D10" r:id="rId9" xr:uid="{00000000-0004-0000-1A00-000008000000}"/>
    <hyperlink ref="C11" r:id="rId10" xr:uid="{00000000-0004-0000-1A00-000009000000}"/>
    <hyperlink ref="D12" r:id="rId11" xr:uid="{00000000-0004-0000-1A00-00000A000000}"/>
    <hyperlink ref="C13" r:id="rId12" xr:uid="{00000000-0004-0000-1A00-00000B000000}"/>
    <hyperlink ref="C14" r:id="rId13" xr:uid="{00000000-0004-0000-1A00-00000C000000}"/>
    <hyperlink ref="D15" r:id="rId14" xr:uid="{00000000-0004-0000-1A00-00000D000000}"/>
    <hyperlink ref="D18" r:id="rId15" xr:uid="{00000000-0004-0000-1A00-00000E000000}"/>
    <hyperlink ref="D19" r:id="rId16" xr:uid="{00000000-0004-0000-1A00-00000F000000}"/>
    <hyperlink ref="D20" r:id="rId17" xr:uid="{00000000-0004-0000-1A00-000010000000}"/>
    <hyperlink ref="D21" r:id="rId18" xr:uid="{00000000-0004-0000-1A00-000011000000}"/>
    <hyperlink ref="D22" r:id="rId19" xr:uid="{00000000-0004-0000-1A00-000012000000}"/>
    <hyperlink ref="C16" r:id="rId20" xr:uid="{00000000-0004-0000-1A00-000013000000}"/>
    <hyperlink ref="D17" r:id="rId21" xr:uid="{00000000-0004-0000-1A00-000014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FFC000"/>
  </sheetPr>
  <dimension ref="A1:O77"/>
  <sheetViews>
    <sheetView topLeftCell="F17" workbookViewId="0">
      <selection activeCell="K6" sqref="K6:K7"/>
    </sheetView>
  </sheetViews>
  <sheetFormatPr defaultColWidth="8.7109375" defaultRowHeight="15" x14ac:dyDescent="0.25"/>
  <cols>
    <col min="1" max="1" width="2" style="315" customWidth="1"/>
    <col min="2" max="2" width="18.28515625" style="315" bestFit="1" customWidth="1"/>
    <col min="3" max="3" width="19.7109375" style="315" customWidth="1"/>
    <col min="4" max="4" width="13.42578125" style="315" customWidth="1"/>
    <col min="5" max="5" width="10.7109375" style="315" customWidth="1"/>
    <col min="6" max="6" width="24.28515625" style="315" customWidth="1"/>
    <col min="7" max="7" width="21.28515625" style="315" customWidth="1"/>
    <col min="8" max="8" width="17.7109375" style="315" customWidth="1"/>
    <col min="9" max="9" width="19.28515625" style="315" customWidth="1"/>
    <col min="10" max="10" width="43.28515625" style="315" customWidth="1"/>
    <col min="11" max="11" width="8.7109375" style="315"/>
    <col min="12" max="12" width="25.7109375" style="315" customWidth="1"/>
    <col min="13" max="13" width="20.7109375" style="315" bestFit="1" customWidth="1"/>
    <col min="14" max="14" width="16.28515625" style="315" bestFit="1" customWidth="1"/>
    <col min="15" max="15" width="17.28515625" style="315" bestFit="1" customWidth="1"/>
    <col min="16" max="16384" width="8.7109375" style="315"/>
  </cols>
  <sheetData>
    <row r="1" spans="1:15" ht="23.25" x14ac:dyDescent="0.35">
      <c r="B1" s="481" t="s">
        <v>652</v>
      </c>
      <c r="C1" s="499"/>
    </row>
    <row r="2" spans="1:15" ht="15.75" thickBot="1" x14ac:dyDescent="0.3">
      <c r="C2" s="499"/>
    </row>
    <row r="3" spans="1:15" ht="15.75" thickBot="1" x14ac:dyDescent="0.3">
      <c r="B3" s="520" t="s">
        <v>1146</v>
      </c>
      <c r="C3" s="521">
        <f>'Ambito de Implementação'!C7</f>
        <v>0</v>
      </c>
    </row>
    <row r="4" spans="1:15" x14ac:dyDescent="0.25">
      <c r="B4" s="557" t="s">
        <v>1145</v>
      </c>
    </row>
    <row r="5" spans="1:15" ht="31.15" customHeight="1" x14ac:dyDescent="0.25">
      <c r="B5" s="962" t="s">
        <v>1304</v>
      </c>
      <c r="C5" s="962"/>
      <c r="D5" s="962"/>
      <c r="E5" s="962"/>
      <c r="F5" s="962"/>
      <c r="G5" s="962"/>
      <c r="H5" s="962"/>
      <c r="I5" s="962"/>
      <c r="J5" s="962"/>
    </row>
    <row r="6" spans="1:15" ht="43.15" customHeight="1" x14ac:dyDescent="0.25">
      <c r="B6" s="962" t="s">
        <v>1342</v>
      </c>
      <c r="C6" s="962"/>
      <c r="D6" s="962"/>
      <c r="E6" s="962"/>
      <c r="F6" s="962"/>
      <c r="G6" s="962"/>
      <c r="H6" s="962"/>
      <c r="I6" s="962"/>
      <c r="J6" s="962"/>
    </row>
    <row r="7" spans="1:15" ht="15.75" thickBot="1" x14ac:dyDescent="0.3"/>
    <row r="8" spans="1:15" ht="51.75" x14ac:dyDescent="0.4">
      <c r="B8" s="575" t="s">
        <v>1303</v>
      </c>
      <c r="C8" s="575" t="s">
        <v>1299</v>
      </c>
      <c r="D8" s="575" t="s">
        <v>1300</v>
      </c>
      <c r="E8" s="576" t="s">
        <v>1301</v>
      </c>
      <c r="F8" s="993" t="s">
        <v>966</v>
      </c>
      <c r="G8" s="993"/>
      <c r="H8" s="993"/>
      <c r="I8" s="993"/>
      <c r="J8" s="575" t="s">
        <v>935</v>
      </c>
      <c r="L8" s="978" t="s">
        <v>1172</v>
      </c>
      <c r="M8" s="979"/>
      <c r="N8" s="979"/>
      <c r="O8" s="980"/>
    </row>
    <row r="9" spans="1:15" ht="82.9" customHeight="1" x14ac:dyDescent="0.25">
      <c r="A9" s="498"/>
      <c r="B9" s="490" t="s">
        <v>1302</v>
      </c>
      <c r="C9" s="490"/>
      <c r="D9" s="490"/>
      <c r="E9" s="490"/>
      <c r="F9" s="989" t="s">
        <v>1191</v>
      </c>
      <c r="G9" s="989"/>
      <c r="H9" s="989"/>
      <c r="I9" s="989"/>
      <c r="J9" s="577" t="s">
        <v>1277</v>
      </c>
      <c r="L9" s="579" t="s">
        <v>1168</v>
      </c>
      <c r="M9" s="518" t="s">
        <v>1169</v>
      </c>
      <c r="N9" s="518" t="s">
        <v>1170</v>
      </c>
      <c r="O9" s="546" t="s">
        <v>1171</v>
      </c>
    </row>
    <row r="10" spans="1:15" ht="60" x14ac:dyDescent="0.25">
      <c r="B10" s="526"/>
      <c r="C10" s="526">
        <v>0</v>
      </c>
      <c r="D10" s="526">
        <v>0</v>
      </c>
      <c r="E10" s="530" t="s">
        <v>1201</v>
      </c>
      <c r="F10" s="994" t="s">
        <v>1305</v>
      </c>
      <c r="G10" s="994"/>
      <c r="H10" s="994"/>
      <c r="I10" s="994"/>
      <c r="J10" s="558" t="s">
        <v>1278</v>
      </c>
      <c r="L10" s="547" t="s">
        <v>1161</v>
      </c>
      <c r="M10" s="519" t="s">
        <v>1144</v>
      </c>
      <c r="N10" s="538" t="e">
        <f>((INDEX(Table1[Multiplier],MATCH($C$3,Table1[Country],0))*N25)/100)+N25</f>
        <v>#N/A</v>
      </c>
      <c r="O10" s="548" t="e">
        <f>((INDEX(Table1[Multiplier],MATCH($C$3,Table1[Country],0))*N26)/100)+N26</f>
        <v>#N/A</v>
      </c>
    </row>
    <row r="11" spans="1:15" ht="60" x14ac:dyDescent="0.25">
      <c r="B11" s="526"/>
      <c r="C11" s="526">
        <v>0</v>
      </c>
      <c r="D11" s="526">
        <v>0</v>
      </c>
      <c r="E11" s="530" t="s">
        <v>1201</v>
      </c>
      <c r="F11" s="988" t="s">
        <v>1305</v>
      </c>
      <c r="G11" s="988"/>
      <c r="H11" s="988"/>
      <c r="I11" s="988"/>
      <c r="J11" s="558" t="s">
        <v>1278</v>
      </c>
      <c r="L11" s="547" t="s">
        <v>1163</v>
      </c>
      <c r="M11" s="519" t="s">
        <v>1143</v>
      </c>
      <c r="N11" s="538" t="e">
        <f>((INDEX(Table1[Multiplier],MATCH($C$3,Table1[Country],0))*N26)/100)+N26</f>
        <v>#N/A</v>
      </c>
      <c r="O11" s="548" t="e">
        <f>((INDEX(Table1[Multiplier],MATCH($C$3,Table1[Country],0))*N27)/100)+N27</f>
        <v>#N/A</v>
      </c>
    </row>
    <row r="12" spans="1:15" ht="60" x14ac:dyDescent="0.25">
      <c r="B12" s="526"/>
      <c r="C12" s="526">
        <v>0</v>
      </c>
      <c r="D12" s="526">
        <v>0</v>
      </c>
      <c r="E12" s="530" t="s">
        <v>1201</v>
      </c>
      <c r="F12" s="988" t="s">
        <v>1305</v>
      </c>
      <c r="G12" s="988"/>
      <c r="H12" s="988"/>
      <c r="I12" s="988"/>
      <c r="J12" s="558" t="s">
        <v>1278</v>
      </c>
      <c r="L12" s="547" t="s">
        <v>1166</v>
      </c>
      <c r="M12" s="519" t="s">
        <v>1142</v>
      </c>
      <c r="N12" s="538" t="e">
        <f>((INDEX(Table1[Multiplier],MATCH($C$3,Table1[Country],0))*N29)/100)+N29</f>
        <v>#N/A</v>
      </c>
      <c r="O12" s="548" t="e">
        <f>((INDEX(Table1[Multiplier],MATCH($C$3,Table1[Country],0))*N30)/100)+N30</f>
        <v>#N/A</v>
      </c>
    </row>
    <row r="13" spans="1:15" ht="60" x14ac:dyDescent="0.25">
      <c r="B13" s="526"/>
      <c r="C13" s="526">
        <v>0</v>
      </c>
      <c r="D13" s="526">
        <v>0</v>
      </c>
      <c r="E13" s="530" t="s">
        <v>1201</v>
      </c>
      <c r="F13" s="988" t="s">
        <v>1305</v>
      </c>
      <c r="G13" s="988"/>
      <c r="H13" s="988"/>
      <c r="I13" s="988"/>
      <c r="J13" s="558" t="s">
        <v>1278</v>
      </c>
      <c r="L13" s="547" t="s">
        <v>1272</v>
      </c>
      <c r="M13" s="519" t="s">
        <v>1142</v>
      </c>
      <c r="N13" s="538" t="e">
        <f>((INDEX(Table1[Multiplier],MATCH($C$3,Table1[Country],0))*N29)/100)+N29</f>
        <v>#N/A</v>
      </c>
      <c r="O13" s="548" t="e">
        <f>((INDEX(Table1[Multiplier],MATCH($C$3,Table1[Country],0))*N30)/100)+N30</f>
        <v>#N/A</v>
      </c>
    </row>
    <row r="14" spans="1:15" ht="58.15" customHeight="1" x14ac:dyDescent="0.25">
      <c r="B14" s="490" t="s">
        <v>1306</v>
      </c>
      <c r="C14" s="490"/>
      <c r="D14" s="490"/>
      <c r="E14" s="490"/>
      <c r="F14" s="989" t="s">
        <v>1194</v>
      </c>
      <c r="G14" s="989"/>
      <c r="H14" s="989"/>
      <c r="I14" s="989"/>
      <c r="J14" s="577" t="s">
        <v>1277</v>
      </c>
      <c r="L14" s="547" t="s">
        <v>1167</v>
      </c>
      <c r="M14" s="519" t="s">
        <v>1142</v>
      </c>
      <c r="N14" s="538" t="e">
        <f>((INDEX(Table1[Multiplier],MATCH($C$3,Table1[Country],0))*N29)/100)+N29</f>
        <v>#N/A</v>
      </c>
      <c r="O14" s="548" t="e">
        <f>((INDEX(Table1[Multiplier],MATCH($C$3,Table1[Country],0))*N30)/100)+N30</f>
        <v>#N/A</v>
      </c>
    </row>
    <row r="15" spans="1:15" ht="60" x14ac:dyDescent="0.25">
      <c r="B15" s="526"/>
      <c r="C15" s="526">
        <v>0</v>
      </c>
      <c r="D15" s="526">
        <v>0</v>
      </c>
      <c r="E15" s="531" t="s">
        <v>1202</v>
      </c>
      <c r="F15" s="988" t="s">
        <v>1307</v>
      </c>
      <c r="G15" s="988"/>
      <c r="H15" s="988"/>
      <c r="I15" s="988"/>
      <c r="J15" s="558" t="s">
        <v>1278</v>
      </c>
      <c r="L15" s="547" t="s">
        <v>1162</v>
      </c>
      <c r="M15" s="519" t="s">
        <v>1142</v>
      </c>
      <c r="N15" s="538" t="e">
        <f>((INDEX(Table1[Multiplier],MATCH($C$3,Table1[Country],0))*N29)/100)+N29</f>
        <v>#N/A</v>
      </c>
      <c r="O15" s="548" t="e">
        <f>((INDEX(Table1[Multiplier],MATCH($C$3,Table1[Country],0))*N30)/100)+N30</f>
        <v>#N/A</v>
      </c>
    </row>
    <row r="16" spans="1:15" ht="60" x14ac:dyDescent="0.25">
      <c r="B16" s="526"/>
      <c r="C16" s="526">
        <v>0</v>
      </c>
      <c r="D16" s="526">
        <v>0</v>
      </c>
      <c r="E16" s="531" t="s">
        <v>1202</v>
      </c>
      <c r="F16" s="988" t="s">
        <v>1307</v>
      </c>
      <c r="G16" s="988"/>
      <c r="H16" s="988"/>
      <c r="I16" s="988"/>
      <c r="J16" s="558" t="s">
        <v>1278</v>
      </c>
      <c r="L16" s="547" t="s">
        <v>1160</v>
      </c>
      <c r="M16" s="519" t="s">
        <v>1141</v>
      </c>
      <c r="N16" s="538" t="e">
        <f>((INDEX(Table1[Multiplier],MATCH($C$3,Table1[Country],0))*N31)/100)+N31</f>
        <v>#N/A</v>
      </c>
      <c r="O16" s="548" t="e">
        <f>((INDEX(Table1[Multiplier],MATCH($C$3,Table1[Country],0))*N32)/100)+N32</f>
        <v>#N/A</v>
      </c>
    </row>
    <row r="17" spans="2:15" ht="60" x14ac:dyDescent="0.25">
      <c r="B17" s="526"/>
      <c r="C17" s="526">
        <v>0</v>
      </c>
      <c r="D17" s="526">
        <v>0</v>
      </c>
      <c r="E17" s="531" t="s">
        <v>1202</v>
      </c>
      <c r="F17" s="988" t="s">
        <v>1307</v>
      </c>
      <c r="G17" s="988"/>
      <c r="H17" s="988"/>
      <c r="I17" s="988"/>
      <c r="J17" s="558" t="s">
        <v>1278</v>
      </c>
      <c r="L17" s="547" t="s">
        <v>1165</v>
      </c>
      <c r="M17" s="519" t="s">
        <v>1141</v>
      </c>
      <c r="N17" s="538" t="e">
        <f>((INDEX(Table1[Multiplier],MATCH($C$3,Table1[Country],0))*N31)/100)+N31</f>
        <v>#N/A</v>
      </c>
      <c r="O17" s="548" t="e">
        <f>((INDEX(Table1[Multiplier],MATCH($C$3,Table1[Country],0))*N32)/100)+N32</f>
        <v>#N/A</v>
      </c>
    </row>
    <row r="18" spans="2:15" ht="55.5" customHeight="1" x14ac:dyDescent="0.25">
      <c r="B18" s="490" t="s">
        <v>1308</v>
      </c>
      <c r="C18" s="490"/>
      <c r="D18" s="490"/>
      <c r="E18" s="490"/>
      <c r="F18" s="989" t="s">
        <v>924</v>
      </c>
      <c r="G18" s="989"/>
      <c r="H18" s="989"/>
      <c r="I18" s="989"/>
      <c r="J18" s="577" t="s">
        <v>1277</v>
      </c>
      <c r="L18" s="547" t="s">
        <v>1273</v>
      </c>
      <c r="M18" s="519" t="s">
        <v>1141</v>
      </c>
      <c r="N18" s="538" t="e">
        <f>((INDEX(Table1[Multiplier],MATCH($C$3,Table1[Country],0))*N31)/100)+N31</f>
        <v>#N/A</v>
      </c>
      <c r="O18" s="548" t="e">
        <f>((INDEX(Table1[Multiplier],MATCH($C$3,Table1[Country],0))*N32)/100)+N32</f>
        <v>#N/A</v>
      </c>
    </row>
    <row r="19" spans="2:15" ht="55.9" customHeight="1" x14ac:dyDescent="0.25">
      <c r="B19" s="526"/>
      <c r="C19" s="526">
        <v>0</v>
      </c>
      <c r="D19" s="526">
        <v>0</v>
      </c>
      <c r="E19" s="531" t="s">
        <v>1203</v>
      </c>
      <c r="F19" s="988" t="s">
        <v>1309</v>
      </c>
      <c r="G19" s="988"/>
      <c r="H19" s="988"/>
      <c r="I19" s="988"/>
      <c r="J19" s="558" t="s">
        <v>1278</v>
      </c>
      <c r="L19" s="547" t="s">
        <v>1159</v>
      </c>
      <c r="M19" s="519" t="s">
        <v>1141</v>
      </c>
      <c r="N19" s="538" t="e">
        <f>((INDEX(Table1[Multiplier],MATCH($C$3,Table1[Country],0))*N31)/100)+N31</f>
        <v>#N/A</v>
      </c>
      <c r="O19" s="548" t="e">
        <f>((INDEX(Table1[Multiplier],MATCH($C$3,Table1[Country],0))*N32)/100)+N32</f>
        <v>#N/A</v>
      </c>
    </row>
    <row r="20" spans="2:15" ht="58.5" customHeight="1" thickBot="1" x14ac:dyDescent="0.3">
      <c r="B20" s="526"/>
      <c r="C20" s="526">
        <v>0</v>
      </c>
      <c r="D20" s="526">
        <v>0</v>
      </c>
      <c r="E20" s="531" t="s">
        <v>1203</v>
      </c>
      <c r="F20" s="988" t="s">
        <v>1309</v>
      </c>
      <c r="G20" s="988"/>
      <c r="H20" s="988"/>
      <c r="I20" s="988"/>
      <c r="J20" s="558" t="s">
        <v>1278</v>
      </c>
      <c r="L20" s="549" t="s">
        <v>1164</v>
      </c>
      <c r="M20" s="550" t="s">
        <v>1141</v>
      </c>
      <c r="N20" s="551" t="e">
        <f>((INDEX(Table1[Multiplier],MATCH($C$3,Table1[Country],0))*N31)/100)+N31</f>
        <v>#N/A</v>
      </c>
      <c r="O20" s="552" t="e">
        <f>((INDEX(Table1[Multiplier],MATCH($C$3,Table1[Country],0))*N32)/100)+N32</f>
        <v>#N/A</v>
      </c>
    </row>
    <row r="21" spans="2:15" ht="56.65" customHeight="1" x14ac:dyDescent="0.25">
      <c r="B21" s="490" t="s">
        <v>1310</v>
      </c>
      <c r="C21" s="490"/>
      <c r="D21" s="490"/>
      <c r="E21" s="490"/>
      <c r="F21" s="989" t="s">
        <v>887</v>
      </c>
      <c r="G21" s="989"/>
      <c r="H21" s="989"/>
      <c r="I21" s="989"/>
      <c r="J21" s="577" t="s">
        <v>1277</v>
      </c>
    </row>
    <row r="22" spans="2:15" ht="30" x14ac:dyDescent="0.25">
      <c r="B22" s="526"/>
      <c r="C22" s="526">
        <v>0</v>
      </c>
      <c r="D22" s="526">
        <v>0</v>
      </c>
      <c r="E22" s="503">
        <v>0.5</v>
      </c>
      <c r="F22" s="988" t="s">
        <v>1311</v>
      </c>
      <c r="G22" s="988"/>
      <c r="H22" s="988"/>
      <c r="I22" s="988"/>
      <c r="J22" s="478" t="s">
        <v>936</v>
      </c>
      <c r="L22" s="570" t="s">
        <v>1270</v>
      </c>
      <c r="M22" s="571"/>
      <c r="N22" s="571"/>
    </row>
    <row r="23" spans="2:15" ht="45" x14ac:dyDescent="0.25">
      <c r="B23" s="526"/>
      <c r="C23" s="526">
        <v>0</v>
      </c>
      <c r="D23" s="526">
        <v>0</v>
      </c>
      <c r="E23" s="503">
        <v>0.5</v>
      </c>
      <c r="F23" s="988" t="s">
        <v>1311</v>
      </c>
      <c r="G23" s="988"/>
      <c r="H23" s="988"/>
      <c r="I23" s="988"/>
      <c r="J23" s="478" t="s">
        <v>936</v>
      </c>
      <c r="L23" s="536"/>
      <c r="M23" s="519" t="s">
        <v>1265</v>
      </c>
      <c r="N23" s="519" t="s">
        <v>1266</v>
      </c>
    </row>
    <row r="24" spans="2:15" ht="30" x14ac:dyDescent="0.25">
      <c r="B24" s="526"/>
      <c r="C24" s="526">
        <v>0</v>
      </c>
      <c r="D24" s="526">
        <v>0</v>
      </c>
      <c r="E24" s="503">
        <v>0.5</v>
      </c>
      <c r="F24" s="988" t="s">
        <v>1311</v>
      </c>
      <c r="G24" s="988"/>
      <c r="H24" s="988"/>
      <c r="I24" s="988"/>
      <c r="J24" s="478" t="s">
        <v>936</v>
      </c>
      <c r="L24" s="542" t="s">
        <v>1271</v>
      </c>
      <c r="M24" s="543"/>
      <c r="N24" s="544"/>
      <c r="O24" s="479"/>
    </row>
    <row r="25" spans="2:15" ht="73.150000000000006" customHeight="1" x14ac:dyDescent="0.25">
      <c r="B25" s="490" t="s">
        <v>1312</v>
      </c>
      <c r="C25" s="490"/>
      <c r="D25" s="490"/>
      <c r="E25" s="490"/>
      <c r="F25" s="989" t="s">
        <v>659</v>
      </c>
      <c r="G25" s="989"/>
      <c r="H25" s="989"/>
      <c r="I25" s="989"/>
      <c r="J25" s="578" t="s">
        <v>934</v>
      </c>
      <c r="L25" s="519" t="s">
        <v>1274</v>
      </c>
      <c r="M25" s="553" t="s">
        <v>70</v>
      </c>
      <c r="N25" s="556">
        <v>31255.020993999999</v>
      </c>
      <c r="O25" s="479"/>
    </row>
    <row r="26" spans="2:15" ht="30" x14ac:dyDescent="0.25">
      <c r="B26" s="526"/>
      <c r="C26" s="526">
        <v>0</v>
      </c>
      <c r="D26" s="526">
        <v>0</v>
      </c>
      <c r="E26" s="503"/>
      <c r="F26" s="988"/>
      <c r="G26" s="988"/>
      <c r="H26" s="988"/>
      <c r="I26" s="988"/>
      <c r="J26" s="478"/>
      <c r="L26" s="519" t="s">
        <v>1275</v>
      </c>
      <c r="M26" s="553" t="s">
        <v>70</v>
      </c>
      <c r="N26" s="556">
        <v>37656.6518</v>
      </c>
      <c r="O26" s="479"/>
    </row>
    <row r="27" spans="2:15" ht="30" x14ac:dyDescent="0.25">
      <c r="B27" s="526"/>
      <c r="C27" s="526">
        <v>0</v>
      </c>
      <c r="D27" s="526">
        <v>0</v>
      </c>
      <c r="E27" s="503"/>
      <c r="F27" s="988"/>
      <c r="G27" s="988"/>
      <c r="H27" s="988"/>
      <c r="I27" s="988"/>
      <c r="J27" s="478"/>
      <c r="L27" s="519" t="s">
        <v>1276</v>
      </c>
      <c r="M27" s="553" t="s">
        <v>70</v>
      </c>
      <c r="N27" s="556">
        <v>45369.46</v>
      </c>
      <c r="O27" s="479"/>
    </row>
    <row r="28" spans="2:15" x14ac:dyDescent="0.25">
      <c r="B28" s="526"/>
      <c r="C28" s="526">
        <v>0</v>
      </c>
      <c r="D28" s="526">
        <v>0</v>
      </c>
      <c r="E28" s="503"/>
      <c r="F28" s="988"/>
      <c r="G28" s="988"/>
      <c r="H28" s="988"/>
      <c r="I28" s="988"/>
      <c r="J28" s="478"/>
      <c r="L28" s="572" t="s">
        <v>1264</v>
      </c>
      <c r="M28" s="573"/>
      <c r="N28" s="574"/>
      <c r="O28" s="479"/>
    </row>
    <row r="29" spans="2:15" ht="30" x14ac:dyDescent="0.25">
      <c r="B29" s="490" t="s">
        <v>1313</v>
      </c>
      <c r="C29" s="490"/>
      <c r="D29" s="490"/>
      <c r="E29" s="490"/>
      <c r="F29" s="989" t="s">
        <v>889</v>
      </c>
      <c r="G29" s="989"/>
      <c r="H29" s="989"/>
      <c r="I29" s="989"/>
      <c r="J29" s="578" t="s">
        <v>934</v>
      </c>
      <c r="L29" s="990" t="s">
        <v>1267</v>
      </c>
      <c r="M29" s="532" t="s">
        <v>1173</v>
      </c>
      <c r="N29" s="554">
        <v>54662</v>
      </c>
      <c r="O29" s="479"/>
    </row>
    <row r="30" spans="2:15" x14ac:dyDescent="0.25">
      <c r="B30" s="526"/>
      <c r="C30" s="526">
        <v>0</v>
      </c>
      <c r="D30" s="526">
        <v>0</v>
      </c>
      <c r="E30" s="503"/>
      <c r="F30" s="988"/>
      <c r="G30" s="988"/>
      <c r="H30" s="988"/>
      <c r="I30" s="988"/>
      <c r="J30" s="478"/>
      <c r="L30" s="991"/>
      <c r="M30" s="533" t="s">
        <v>1174</v>
      </c>
      <c r="N30" s="555">
        <v>70268</v>
      </c>
      <c r="O30" s="479"/>
    </row>
    <row r="31" spans="2:15" x14ac:dyDescent="0.25">
      <c r="B31" s="526"/>
      <c r="C31" s="526">
        <v>0</v>
      </c>
      <c r="D31" s="526">
        <v>0</v>
      </c>
      <c r="E31" s="503"/>
      <c r="F31" s="988"/>
      <c r="G31" s="988"/>
      <c r="H31" s="988"/>
      <c r="I31" s="988"/>
      <c r="J31" s="478"/>
      <c r="L31" s="991"/>
      <c r="M31" s="533" t="s">
        <v>1175</v>
      </c>
      <c r="N31" s="555">
        <v>89039</v>
      </c>
      <c r="O31" s="479"/>
    </row>
    <row r="32" spans="2:15" x14ac:dyDescent="0.25">
      <c r="B32" s="526"/>
      <c r="C32" s="526">
        <v>0</v>
      </c>
      <c r="D32" s="526">
        <v>0</v>
      </c>
      <c r="E32" s="503"/>
      <c r="F32" s="988"/>
      <c r="G32" s="988"/>
      <c r="H32" s="988"/>
      <c r="I32" s="988"/>
      <c r="J32" s="478"/>
      <c r="L32" s="992"/>
      <c r="M32" s="534" t="s">
        <v>1176</v>
      </c>
      <c r="N32" s="517">
        <v>107420</v>
      </c>
    </row>
    <row r="33" spans="2:14" ht="55.5" customHeight="1" x14ac:dyDescent="0.25">
      <c r="B33" s="490" t="s">
        <v>1314</v>
      </c>
      <c r="C33" s="490"/>
      <c r="D33" s="490"/>
      <c r="E33" s="490"/>
      <c r="F33" s="989" t="s">
        <v>1315</v>
      </c>
      <c r="G33" s="989"/>
      <c r="H33" s="989"/>
      <c r="I33" s="989"/>
      <c r="J33" s="578" t="s">
        <v>936</v>
      </c>
      <c r="L33" s="535" t="s">
        <v>1268</v>
      </c>
      <c r="M33" s="536"/>
      <c r="N33" s="537" t="s">
        <v>1269</v>
      </c>
    </row>
    <row r="34" spans="2:14" ht="27.4" customHeight="1" x14ac:dyDescent="0.25">
      <c r="B34" s="526"/>
      <c r="C34" s="526">
        <v>0</v>
      </c>
      <c r="D34" s="526">
        <v>0</v>
      </c>
      <c r="E34" s="503">
        <v>0.5</v>
      </c>
      <c r="F34" s="988" t="s">
        <v>1311</v>
      </c>
      <c r="G34" s="988"/>
      <c r="H34" s="988"/>
      <c r="I34" s="988"/>
      <c r="J34" s="473" t="s">
        <v>937</v>
      </c>
      <c r="L34" s="471"/>
    </row>
    <row r="35" spans="2:14" ht="45" x14ac:dyDescent="0.25">
      <c r="B35" s="526"/>
      <c r="C35" s="526">
        <v>0</v>
      </c>
      <c r="D35" s="526">
        <v>0</v>
      </c>
      <c r="E35" s="503">
        <v>0.5</v>
      </c>
      <c r="F35" s="988" t="s">
        <v>1311</v>
      </c>
      <c r="G35" s="988"/>
      <c r="H35" s="988"/>
      <c r="I35" s="988"/>
      <c r="J35" s="473" t="s">
        <v>937</v>
      </c>
      <c r="L35" s="478" t="s">
        <v>1341</v>
      </c>
    </row>
    <row r="36" spans="2:14" ht="28.5" customHeight="1" x14ac:dyDescent="0.25">
      <c r="B36" s="526"/>
      <c r="C36" s="526">
        <v>0</v>
      </c>
      <c r="D36" s="526">
        <v>0</v>
      </c>
      <c r="E36" s="503">
        <v>0.5</v>
      </c>
      <c r="F36" s="988" t="s">
        <v>1311</v>
      </c>
      <c r="G36" s="988"/>
      <c r="H36" s="988"/>
      <c r="I36" s="988"/>
      <c r="J36" s="473" t="s">
        <v>937</v>
      </c>
      <c r="L36" s="473"/>
    </row>
    <row r="37" spans="2:14" ht="28.9" customHeight="1" x14ac:dyDescent="0.25">
      <c r="B37" s="490" t="s">
        <v>1316</v>
      </c>
      <c r="C37" s="490"/>
      <c r="D37" s="490"/>
      <c r="E37" s="490"/>
      <c r="F37" s="989" t="s">
        <v>1318</v>
      </c>
      <c r="G37" s="989"/>
      <c r="H37" s="989"/>
      <c r="I37" s="989"/>
      <c r="J37" s="578" t="s">
        <v>934</v>
      </c>
    </row>
    <row r="38" spans="2:14" ht="30" x14ac:dyDescent="0.25">
      <c r="B38" s="526"/>
      <c r="C38" s="526">
        <v>0</v>
      </c>
      <c r="D38" s="526">
        <v>0</v>
      </c>
      <c r="E38" s="503" t="s">
        <v>1225</v>
      </c>
      <c r="F38" s="988" t="s">
        <v>1319</v>
      </c>
      <c r="G38" s="988"/>
      <c r="H38" s="988"/>
      <c r="I38" s="988"/>
      <c r="J38" s="478" t="s">
        <v>934</v>
      </c>
    </row>
    <row r="39" spans="2:14" ht="30" x14ac:dyDescent="0.25">
      <c r="B39" s="526"/>
      <c r="C39" s="526">
        <v>0</v>
      </c>
      <c r="D39" s="526">
        <v>0</v>
      </c>
      <c r="E39" s="503" t="s">
        <v>1225</v>
      </c>
      <c r="F39" s="988" t="s">
        <v>1319</v>
      </c>
      <c r="G39" s="988"/>
      <c r="H39" s="988"/>
      <c r="I39" s="988"/>
      <c r="J39" s="478" t="s">
        <v>934</v>
      </c>
    </row>
    <row r="40" spans="2:14" ht="30" x14ac:dyDescent="0.25">
      <c r="B40" s="526"/>
      <c r="C40" s="526">
        <v>0</v>
      </c>
      <c r="D40" s="526">
        <v>0</v>
      </c>
      <c r="E40" s="503" t="s">
        <v>1225</v>
      </c>
      <c r="F40" s="988" t="s">
        <v>1319</v>
      </c>
      <c r="G40" s="988"/>
      <c r="H40" s="988"/>
      <c r="I40" s="988"/>
      <c r="J40" s="478" t="s">
        <v>934</v>
      </c>
    </row>
    <row r="41" spans="2:14" ht="30" x14ac:dyDescent="0.25">
      <c r="B41" s="526"/>
      <c r="C41" s="526">
        <v>0</v>
      </c>
      <c r="D41" s="526">
        <v>0</v>
      </c>
      <c r="E41" s="503" t="s">
        <v>1225</v>
      </c>
      <c r="F41" s="988" t="s">
        <v>1319</v>
      </c>
      <c r="G41" s="988"/>
      <c r="H41" s="988"/>
      <c r="I41" s="988"/>
      <c r="J41" s="478" t="s">
        <v>934</v>
      </c>
    </row>
    <row r="42" spans="2:14" ht="30" x14ac:dyDescent="0.25">
      <c r="B42" s="490" t="s">
        <v>1321</v>
      </c>
      <c r="C42" s="490"/>
      <c r="D42" s="490"/>
      <c r="E42" s="490"/>
      <c r="F42" s="989" t="s">
        <v>1322</v>
      </c>
      <c r="G42" s="989"/>
      <c r="H42" s="989"/>
      <c r="I42" s="989"/>
      <c r="J42" s="578" t="s">
        <v>934</v>
      </c>
    </row>
    <row r="43" spans="2:14" x14ac:dyDescent="0.25">
      <c r="B43" s="526"/>
      <c r="C43" s="526">
        <v>0</v>
      </c>
      <c r="D43" s="526">
        <v>0</v>
      </c>
      <c r="E43" s="503"/>
      <c r="F43" s="988"/>
      <c r="G43" s="988"/>
      <c r="H43" s="988"/>
      <c r="I43" s="988"/>
      <c r="J43" s="478"/>
    </row>
    <row r="44" spans="2:14" x14ac:dyDescent="0.25">
      <c r="B44" s="526"/>
      <c r="C44" s="526">
        <v>0</v>
      </c>
      <c r="D44" s="526">
        <v>0</v>
      </c>
      <c r="E44" s="503"/>
      <c r="F44" s="988"/>
      <c r="G44" s="988"/>
      <c r="H44" s="988"/>
      <c r="I44" s="988"/>
      <c r="J44" s="478"/>
    </row>
    <row r="45" spans="2:14" x14ac:dyDescent="0.25">
      <c r="B45" s="526"/>
      <c r="C45" s="526">
        <v>0</v>
      </c>
      <c r="D45" s="526">
        <v>0</v>
      </c>
      <c r="E45" s="503"/>
      <c r="F45" s="988"/>
      <c r="G45" s="988"/>
      <c r="H45" s="988"/>
      <c r="I45" s="988"/>
      <c r="J45" s="478"/>
    </row>
    <row r="46" spans="2:14" x14ac:dyDescent="0.25">
      <c r="B46" s="526"/>
      <c r="C46" s="526">
        <v>0</v>
      </c>
      <c r="D46" s="526">
        <v>0</v>
      </c>
      <c r="E46" s="503"/>
      <c r="F46" s="988"/>
      <c r="G46" s="988"/>
      <c r="H46" s="988"/>
      <c r="I46" s="988"/>
      <c r="J46" s="478"/>
    </row>
    <row r="47" spans="2:14" ht="157.5" customHeight="1" x14ac:dyDescent="0.25">
      <c r="B47" s="490" t="s">
        <v>1324</v>
      </c>
      <c r="C47" s="490"/>
      <c r="D47" s="490"/>
      <c r="E47" s="490"/>
      <c r="F47" s="989" t="s">
        <v>1325</v>
      </c>
      <c r="G47" s="989"/>
      <c r="H47" s="989"/>
      <c r="I47" s="989"/>
      <c r="J47" s="578" t="s">
        <v>934</v>
      </c>
    </row>
    <row r="48" spans="2:14" x14ac:dyDescent="0.25">
      <c r="B48" s="526"/>
      <c r="C48" s="526">
        <v>0</v>
      </c>
      <c r="D48" s="526">
        <v>0</v>
      </c>
      <c r="E48" s="503"/>
      <c r="F48" s="988"/>
      <c r="G48" s="988"/>
      <c r="H48" s="988"/>
      <c r="I48" s="988"/>
      <c r="J48" s="478"/>
    </row>
    <row r="49" spans="2:10" x14ac:dyDescent="0.25">
      <c r="B49" s="526"/>
      <c r="C49" s="526">
        <v>0</v>
      </c>
      <c r="D49" s="526">
        <v>0</v>
      </c>
      <c r="E49" s="503"/>
      <c r="F49" s="988"/>
      <c r="G49" s="988"/>
      <c r="H49" s="988"/>
      <c r="I49" s="988"/>
      <c r="J49" s="478"/>
    </row>
    <row r="50" spans="2:10" x14ac:dyDescent="0.25">
      <c r="B50" s="526"/>
      <c r="C50" s="526">
        <v>0</v>
      </c>
      <c r="D50" s="526">
        <v>0</v>
      </c>
      <c r="E50" s="503"/>
      <c r="F50" s="988"/>
      <c r="G50" s="988"/>
      <c r="H50" s="988"/>
      <c r="I50" s="988"/>
      <c r="J50" s="478"/>
    </row>
    <row r="51" spans="2:10" x14ac:dyDescent="0.25">
      <c r="B51" s="526"/>
      <c r="C51" s="526">
        <v>0</v>
      </c>
      <c r="D51" s="526">
        <v>0</v>
      </c>
      <c r="E51" s="503"/>
      <c r="F51" s="988"/>
      <c r="G51" s="988"/>
      <c r="H51" s="988"/>
      <c r="I51" s="988"/>
      <c r="J51" s="478"/>
    </row>
    <row r="52" spans="2:10" x14ac:dyDescent="0.25">
      <c r="B52" s="526"/>
      <c r="C52" s="526">
        <v>0</v>
      </c>
      <c r="D52" s="526">
        <v>0</v>
      </c>
      <c r="E52" s="503"/>
    </row>
    <row r="53" spans="2:10" x14ac:dyDescent="0.25">
      <c r="B53" s="526"/>
      <c r="C53" s="526">
        <v>0</v>
      </c>
      <c r="D53" s="526">
        <v>0</v>
      </c>
      <c r="E53" s="503"/>
    </row>
    <row r="54" spans="2:10" ht="85.9" customHeight="1" x14ac:dyDescent="0.25">
      <c r="B54" s="490" t="s">
        <v>1326</v>
      </c>
      <c r="C54" s="490"/>
      <c r="D54" s="490"/>
      <c r="E54" s="490"/>
      <c r="F54" s="989" t="s">
        <v>1327</v>
      </c>
      <c r="G54" s="989"/>
      <c r="H54" s="989"/>
      <c r="I54" s="989"/>
      <c r="J54" s="578" t="s">
        <v>934</v>
      </c>
    </row>
    <row r="55" spans="2:10" ht="27.4" customHeight="1" x14ac:dyDescent="0.25">
      <c r="B55" s="526"/>
      <c r="C55" s="526">
        <v>0</v>
      </c>
      <c r="D55" s="526">
        <v>0</v>
      </c>
      <c r="E55" s="504">
        <v>0.25</v>
      </c>
      <c r="F55" s="988" t="s">
        <v>1328</v>
      </c>
      <c r="G55" s="988"/>
      <c r="H55" s="988"/>
      <c r="I55" s="988"/>
      <c r="J55" s="478" t="s">
        <v>936</v>
      </c>
    </row>
    <row r="56" spans="2:10" ht="27.4" customHeight="1" x14ac:dyDescent="0.25">
      <c r="B56" s="526"/>
      <c r="C56" s="526">
        <v>0</v>
      </c>
      <c r="D56" s="526">
        <v>0</v>
      </c>
      <c r="E56" s="504">
        <v>0.25</v>
      </c>
      <c r="F56" s="988" t="s">
        <v>1328</v>
      </c>
      <c r="G56" s="988"/>
      <c r="H56" s="988"/>
      <c r="I56" s="988"/>
      <c r="J56" s="478" t="s">
        <v>936</v>
      </c>
    </row>
    <row r="57" spans="2:10" ht="26.65" customHeight="1" x14ac:dyDescent="0.25">
      <c r="B57" s="526"/>
      <c r="C57" s="526">
        <v>0</v>
      </c>
      <c r="D57" s="526">
        <v>0</v>
      </c>
      <c r="E57" s="504">
        <v>0.25</v>
      </c>
      <c r="F57" s="988" t="s">
        <v>1328</v>
      </c>
      <c r="G57" s="988"/>
      <c r="H57" s="988"/>
      <c r="I57" s="988"/>
      <c r="J57" s="478" t="s">
        <v>936</v>
      </c>
    </row>
    <row r="58" spans="2:10" ht="70.5" customHeight="1" x14ac:dyDescent="0.25">
      <c r="B58" s="490" t="s">
        <v>1329</v>
      </c>
      <c r="C58" s="490"/>
      <c r="D58" s="490"/>
      <c r="E58" s="490"/>
      <c r="F58" s="989" t="s">
        <v>1330</v>
      </c>
      <c r="G58" s="989"/>
      <c r="H58" s="989"/>
      <c r="I58" s="989"/>
      <c r="J58" s="578" t="s">
        <v>934</v>
      </c>
    </row>
    <row r="59" spans="2:10" x14ac:dyDescent="0.25">
      <c r="B59" s="526"/>
      <c r="C59" s="526">
        <v>0</v>
      </c>
      <c r="D59" s="526">
        <v>0</v>
      </c>
      <c r="E59" s="504"/>
      <c r="F59" s="988"/>
      <c r="G59" s="988"/>
      <c r="H59" s="988"/>
      <c r="I59" s="988"/>
      <c r="J59" s="478"/>
    </row>
    <row r="60" spans="2:10" x14ac:dyDescent="0.25">
      <c r="B60" s="526"/>
      <c r="C60" s="526">
        <v>0</v>
      </c>
      <c r="D60" s="526">
        <v>0</v>
      </c>
      <c r="E60" s="504"/>
      <c r="F60" s="988"/>
      <c r="G60" s="988"/>
      <c r="H60" s="988"/>
      <c r="I60" s="988"/>
      <c r="J60" s="478"/>
    </row>
    <row r="61" spans="2:10" x14ac:dyDescent="0.25">
      <c r="B61" s="526"/>
      <c r="C61" s="526">
        <v>0</v>
      </c>
      <c r="D61" s="526">
        <v>0</v>
      </c>
      <c r="E61" s="504"/>
      <c r="F61" s="988"/>
      <c r="G61" s="988"/>
      <c r="H61" s="988"/>
      <c r="I61" s="988"/>
      <c r="J61" s="478"/>
    </row>
    <row r="62" spans="2:10" ht="30" x14ac:dyDescent="0.25">
      <c r="B62" s="490" t="s">
        <v>1331</v>
      </c>
      <c r="C62" s="490"/>
      <c r="D62" s="490"/>
      <c r="E62" s="490"/>
      <c r="F62" s="989" t="s">
        <v>1336</v>
      </c>
      <c r="G62" s="989"/>
      <c r="H62" s="989"/>
      <c r="I62" s="989"/>
      <c r="J62" s="578" t="s">
        <v>934</v>
      </c>
    </row>
    <row r="63" spans="2:10" x14ac:dyDescent="0.25">
      <c r="B63" s="526"/>
      <c r="C63" s="526">
        <v>0</v>
      </c>
      <c r="D63" s="526">
        <v>0</v>
      </c>
      <c r="E63" s="504"/>
      <c r="F63" s="988"/>
      <c r="G63" s="988"/>
      <c r="H63" s="988"/>
      <c r="I63" s="988"/>
      <c r="J63" s="478"/>
    </row>
    <row r="64" spans="2:10" x14ac:dyDescent="0.25">
      <c r="B64" s="526"/>
      <c r="C64" s="526">
        <v>0</v>
      </c>
      <c r="D64" s="526">
        <v>0</v>
      </c>
      <c r="E64" s="504"/>
      <c r="F64" s="988"/>
      <c r="G64" s="988"/>
      <c r="H64" s="988"/>
      <c r="I64" s="988"/>
      <c r="J64" s="478"/>
    </row>
    <row r="65" spans="2:10" x14ac:dyDescent="0.25">
      <c r="B65" s="526"/>
      <c r="C65" s="526">
        <v>0</v>
      </c>
      <c r="D65" s="526">
        <v>0</v>
      </c>
      <c r="E65" s="504"/>
      <c r="F65" s="988"/>
      <c r="G65" s="988"/>
      <c r="H65" s="988"/>
      <c r="I65" s="988"/>
      <c r="J65" s="478"/>
    </row>
    <row r="66" spans="2:10" ht="55.5" customHeight="1" x14ac:dyDescent="0.25">
      <c r="B66" s="490" t="s">
        <v>1332</v>
      </c>
      <c r="C66" s="490"/>
      <c r="D66" s="490"/>
      <c r="E66" s="490"/>
      <c r="F66" s="989" t="s">
        <v>1333</v>
      </c>
      <c r="G66" s="989"/>
      <c r="H66" s="989"/>
      <c r="I66" s="989"/>
      <c r="J66" s="578" t="s">
        <v>934</v>
      </c>
    </row>
    <row r="67" spans="2:10" ht="28.15" customHeight="1" x14ac:dyDescent="0.25">
      <c r="B67" s="526"/>
      <c r="C67" s="526">
        <v>0</v>
      </c>
      <c r="D67" s="526">
        <v>0</v>
      </c>
      <c r="E67" s="504">
        <v>0.5</v>
      </c>
      <c r="F67" s="988" t="s">
        <v>1334</v>
      </c>
      <c r="G67" s="988"/>
      <c r="H67" s="988"/>
      <c r="I67" s="988"/>
      <c r="J67" s="478" t="s">
        <v>936</v>
      </c>
    </row>
    <row r="68" spans="2:10" ht="26.65" customHeight="1" x14ac:dyDescent="0.25">
      <c r="B68" s="526"/>
      <c r="C68" s="526">
        <v>0</v>
      </c>
      <c r="D68" s="526">
        <v>0</v>
      </c>
      <c r="E68" s="504">
        <v>0.5</v>
      </c>
      <c r="F68" s="988" t="s">
        <v>1334</v>
      </c>
      <c r="G68" s="988"/>
      <c r="H68" s="988"/>
      <c r="I68" s="988"/>
      <c r="J68" s="478" t="s">
        <v>936</v>
      </c>
    </row>
    <row r="69" spans="2:10" ht="29.65" customHeight="1" x14ac:dyDescent="0.25">
      <c r="B69" s="526"/>
      <c r="C69" s="526">
        <v>0</v>
      </c>
      <c r="D69" s="526">
        <v>0</v>
      </c>
      <c r="E69" s="504">
        <v>0.5</v>
      </c>
      <c r="F69" s="988" t="s">
        <v>1334</v>
      </c>
      <c r="G69" s="988"/>
      <c r="H69" s="988"/>
      <c r="I69" s="988"/>
      <c r="J69" s="478" t="s">
        <v>936</v>
      </c>
    </row>
    <row r="70" spans="2:10" ht="56.65" customHeight="1" x14ac:dyDescent="0.25">
      <c r="B70" s="490" t="s">
        <v>1335</v>
      </c>
      <c r="C70" s="490"/>
      <c r="D70" s="490"/>
      <c r="E70" s="490"/>
      <c r="F70" s="989" t="s">
        <v>1337</v>
      </c>
      <c r="G70" s="989"/>
      <c r="H70" s="989"/>
      <c r="I70" s="989"/>
      <c r="J70" s="578" t="s">
        <v>934</v>
      </c>
    </row>
    <row r="71" spans="2:10" x14ac:dyDescent="0.25">
      <c r="B71" s="526"/>
      <c r="C71" s="526">
        <v>0</v>
      </c>
      <c r="D71" s="526">
        <v>0</v>
      </c>
      <c r="E71" s="504"/>
      <c r="F71" s="988"/>
      <c r="G71" s="988"/>
      <c r="H71" s="988"/>
      <c r="I71" s="988"/>
      <c r="J71" s="478"/>
    </row>
    <row r="72" spans="2:10" x14ac:dyDescent="0.25">
      <c r="B72" s="526"/>
      <c r="C72" s="526">
        <v>0</v>
      </c>
      <c r="D72" s="526">
        <v>0</v>
      </c>
      <c r="E72" s="504"/>
      <c r="F72" s="988"/>
      <c r="G72" s="988"/>
      <c r="H72" s="988"/>
      <c r="I72" s="988"/>
      <c r="J72" s="478"/>
    </row>
    <row r="73" spans="2:10" x14ac:dyDescent="0.25">
      <c r="B73" s="526"/>
      <c r="C73" s="526">
        <v>0</v>
      </c>
      <c r="D73" s="526">
        <v>0</v>
      </c>
      <c r="E73" s="504"/>
      <c r="F73" s="988"/>
      <c r="G73" s="988"/>
      <c r="H73" s="988"/>
      <c r="I73" s="988"/>
      <c r="J73" s="478"/>
    </row>
    <row r="74" spans="2:10" ht="41.65" customHeight="1" x14ac:dyDescent="0.25">
      <c r="B74" s="490" t="s">
        <v>1338</v>
      </c>
      <c r="C74" s="490"/>
      <c r="D74" s="490"/>
      <c r="E74" s="490"/>
      <c r="F74" s="989" t="s">
        <v>1339</v>
      </c>
      <c r="G74" s="989"/>
      <c r="H74" s="989"/>
      <c r="I74" s="989"/>
      <c r="J74" s="578" t="s">
        <v>934</v>
      </c>
    </row>
    <row r="75" spans="2:10" ht="27.4" customHeight="1" x14ac:dyDescent="0.25">
      <c r="B75" s="526"/>
      <c r="C75" s="526">
        <v>0</v>
      </c>
      <c r="D75" s="526">
        <v>0</v>
      </c>
      <c r="E75" s="504">
        <v>0.25</v>
      </c>
      <c r="F75" s="988" t="s">
        <v>1340</v>
      </c>
      <c r="G75" s="988"/>
      <c r="H75" s="988"/>
      <c r="I75" s="988"/>
      <c r="J75" s="478" t="s">
        <v>936</v>
      </c>
    </row>
    <row r="76" spans="2:10" ht="27.4" customHeight="1" x14ac:dyDescent="0.25">
      <c r="B76" s="526"/>
      <c r="C76" s="526">
        <v>0</v>
      </c>
      <c r="D76" s="526">
        <v>0</v>
      </c>
      <c r="E76" s="504">
        <v>0.25</v>
      </c>
      <c r="F76" s="988" t="s">
        <v>1340</v>
      </c>
      <c r="G76" s="988"/>
      <c r="H76" s="988"/>
      <c r="I76" s="988"/>
      <c r="J76" s="478" t="s">
        <v>936</v>
      </c>
    </row>
    <row r="77" spans="2:10" ht="25.9" customHeight="1" x14ac:dyDescent="0.25">
      <c r="B77" s="526"/>
      <c r="C77" s="526">
        <v>0</v>
      </c>
      <c r="D77" s="526">
        <v>0</v>
      </c>
      <c r="E77" s="504">
        <v>0.25</v>
      </c>
      <c r="F77" s="988" t="s">
        <v>1340</v>
      </c>
      <c r="G77" s="988"/>
      <c r="H77" s="988"/>
      <c r="I77" s="988"/>
      <c r="J77" s="478" t="s">
        <v>936</v>
      </c>
    </row>
  </sheetData>
  <mergeCells count="72">
    <mergeCell ref="F39:I39"/>
    <mergeCell ref="F40:I40"/>
    <mergeCell ref="F41:I41"/>
    <mergeCell ref="F33:I33"/>
    <mergeCell ref="F34:I34"/>
    <mergeCell ref="F35:I35"/>
    <mergeCell ref="F36:I36"/>
    <mergeCell ref="F37:I37"/>
    <mergeCell ref="F38:I38"/>
    <mergeCell ref="F27:I27"/>
    <mergeCell ref="F28:I28"/>
    <mergeCell ref="F29:I29"/>
    <mergeCell ref="F30:I30"/>
    <mergeCell ref="F31:I31"/>
    <mergeCell ref="B5:J5"/>
    <mergeCell ref="L8:O8"/>
    <mergeCell ref="B6:J6"/>
    <mergeCell ref="F12:I12"/>
    <mergeCell ref="F13:I13"/>
    <mergeCell ref="F8:I8"/>
    <mergeCell ref="F10:I10"/>
    <mergeCell ref="F11:I11"/>
    <mergeCell ref="L29:L32"/>
    <mergeCell ref="F16:I16"/>
    <mergeCell ref="F9:I9"/>
    <mergeCell ref="F14:I14"/>
    <mergeCell ref="F15:I15"/>
    <mergeCell ref="F17:I17"/>
    <mergeCell ref="F18:I18"/>
    <mergeCell ref="F19:I19"/>
    <mergeCell ref="F20:I20"/>
    <mergeCell ref="F21:I21"/>
    <mergeCell ref="F32:I32"/>
    <mergeCell ref="F22:I22"/>
    <mergeCell ref="F23:I23"/>
    <mergeCell ref="F24:I24"/>
    <mergeCell ref="F25:I25"/>
    <mergeCell ref="F26:I26"/>
    <mergeCell ref="F42:I42"/>
    <mergeCell ref="F43:I43"/>
    <mergeCell ref="F44:I44"/>
    <mergeCell ref="F45:I45"/>
    <mergeCell ref="F46:I46"/>
    <mergeCell ref="F54:I54"/>
    <mergeCell ref="F55:I55"/>
    <mergeCell ref="F56:I56"/>
    <mergeCell ref="F57:I57"/>
    <mergeCell ref="F47:I47"/>
    <mergeCell ref="F48:I48"/>
    <mergeCell ref="F49:I49"/>
    <mergeCell ref="F50:I50"/>
    <mergeCell ref="F51:I51"/>
    <mergeCell ref="F58:I58"/>
    <mergeCell ref="F59:I59"/>
    <mergeCell ref="F60:I60"/>
    <mergeCell ref="F61:I61"/>
    <mergeCell ref="F62:I62"/>
    <mergeCell ref="F63:I63"/>
    <mergeCell ref="F64:I64"/>
    <mergeCell ref="F66:I66"/>
    <mergeCell ref="F67:I67"/>
    <mergeCell ref="F68:I68"/>
    <mergeCell ref="F69:I69"/>
    <mergeCell ref="F65:I65"/>
    <mergeCell ref="F70:I70"/>
    <mergeCell ref="F71:I71"/>
    <mergeCell ref="F72:I72"/>
    <mergeCell ref="F73:I73"/>
    <mergeCell ref="F74:I74"/>
    <mergeCell ref="F75:I75"/>
    <mergeCell ref="F76:I76"/>
    <mergeCell ref="F77:I77"/>
  </mergeCells>
  <conditionalFormatting sqref="B10:D13">
    <cfRule type="expression" dxfId="47" priority="372">
      <formula>$C$30="Yes"</formula>
    </cfRule>
  </conditionalFormatting>
  <conditionalFormatting sqref="B15:D17">
    <cfRule type="expression" dxfId="46" priority="348">
      <formula>$C$30="No"</formula>
    </cfRule>
    <cfRule type="expression" dxfId="45" priority="349">
      <formula>$C$30="Yes"</formula>
    </cfRule>
  </conditionalFormatting>
  <conditionalFormatting sqref="B19:D20">
    <cfRule type="expression" dxfId="44" priority="311">
      <formula>$C$30="No"</formula>
    </cfRule>
    <cfRule type="expression" dxfId="43" priority="312">
      <formula>$C$30="Yes"</formula>
    </cfRule>
  </conditionalFormatting>
  <conditionalFormatting sqref="B22:D24">
    <cfRule type="expression" dxfId="42" priority="286">
      <formula>$C$30="Yes"</formula>
    </cfRule>
    <cfRule type="expression" dxfId="41" priority="285">
      <formula>$C$30="No"</formula>
    </cfRule>
  </conditionalFormatting>
  <conditionalFormatting sqref="B26:D28">
    <cfRule type="expression" dxfId="40" priority="265">
      <formula>$C$30="Yes"</formula>
    </cfRule>
    <cfRule type="expression" dxfId="39" priority="264">
      <formula>$C$30="No"</formula>
    </cfRule>
  </conditionalFormatting>
  <conditionalFormatting sqref="B30:D32">
    <cfRule type="expression" dxfId="38" priority="245">
      <formula>$C$30="No"</formula>
    </cfRule>
    <cfRule type="expression" dxfId="37" priority="246">
      <formula>$C$30="Yes"</formula>
    </cfRule>
  </conditionalFormatting>
  <conditionalFormatting sqref="B34:D36">
    <cfRule type="expression" dxfId="36" priority="227">
      <formula>$C$30="Yes"</formula>
    </cfRule>
    <cfRule type="expression" dxfId="35" priority="226">
      <formula>$C$30="No"</formula>
    </cfRule>
  </conditionalFormatting>
  <conditionalFormatting sqref="B38:D41">
    <cfRule type="expression" dxfId="34" priority="202">
      <formula>$C$30="Yes"</formula>
    </cfRule>
    <cfRule type="expression" dxfId="33" priority="201">
      <formula>$C$30="No"</formula>
    </cfRule>
  </conditionalFormatting>
  <conditionalFormatting sqref="B43:D46">
    <cfRule type="expression" dxfId="32" priority="176">
      <formula>$C$30="No"</formula>
    </cfRule>
    <cfRule type="expression" dxfId="31" priority="177">
      <formula>$C$30="Yes"</formula>
    </cfRule>
  </conditionalFormatting>
  <conditionalFormatting sqref="B48:D53">
    <cfRule type="expression" dxfId="30" priority="140">
      <formula>$C$30="Yes"</formula>
    </cfRule>
    <cfRule type="expression" dxfId="29" priority="139">
      <formula>$C$30="No"</formula>
    </cfRule>
  </conditionalFormatting>
  <conditionalFormatting sqref="B55:D57">
    <cfRule type="expression" dxfId="28" priority="120">
      <formula>$C$30="No"</formula>
    </cfRule>
    <cfRule type="expression" dxfId="27" priority="121">
      <formula>$C$30="Yes"</formula>
    </cfRule>
  </conditionalFormatting>
  <conditionalFormatting sqref="B59:D61">
    <cfRule type="expression" dxfId="26" priority="83">
      <formula>$C$30="No"</formula>
    </cfRule>
    <cfRule type="expression" dxfId="25" priority="84">
      <formula>$C$30="Yes"</formula>
    </cfRule>
  </conditionalFormatting>
  <conditionalFormatting sqref="B63:D65">
    <cfRule type="expression" dxfId="24" priority="40">
      <formula>$C$30="Yes"</formula>
    </cfRule>
    <cfRule type="expression" dxfId="23" priority="39">
      <formula>$C$30="No"</formula>
    </cfRule>
  </conditionalFormatting>
  <conditionalFormatting sqref="B67:D69">
    <cfRule type="expression" dxfId="22" priority="45">
      <formula>$C$30="No"</formula>
    </cfRule>
    <cfRule type="expression" dxfId="21" priority="46">
      <formula>$C$30="Yes"</formula>
    </cfRule>
  </conditionalFormatting>
  <conditionalFormatting sqref="B71:D73">
    <cfRule type="expression" dxfId="20" priority="20">
      <formula>$C$30="No"</formula>
    </cfRule>
    <cfRule type="expression" dxfId="19" priority="21">
      <formula>$C$30="Yes"</formula>
    </cfRule>
  </conditionalFormatting>
  <conditionalFormatting sqref="B75:D77">
    <cfRule type="expression" dxfId="18" priority="2">
      <formula>$C$30="Yes"</formula>
    </cfRule>
    <cfRule type="expression" dxfId="17" priority="1">
      <formula>$C$30="No"</formula>
    </cfRule>
  </conditionalFormatting>
  <conditionalFormatting sqref="B10:I13">
    <cfRule type="expression" dxfId="16" priority="371">
      <formula>$C$30="No"</formula>
    </cfRule>
  </conditionalFormatting>
  <conditionalFormatting sqref="E15:I17">
    <cfRule type="expression" dxfId="15" priority="338">
      <formula>$C$29="No"</formula>
    </cfRule>
  </conditionalFormatting>
  <conditionalFormatting sqref="E19:I20">
    <cfRule type="expression" dxfId="14" priority="308">
      <formula>$C$29="No"</formula>
    </cfRule>
  </conditionalFormatting>
  <conditionalFormatting sqref="F18:I18">
    <cfRule type="expression" dxfId="13" priority="333">
      <formula>$C$30="No"</formula>
    </cfRule>
  </conditionalFormatting>
  <conditionalFormatting sqref="F21:I21">
    <cfRule type="expression" dxfId="12" priority="307">
      <formula>$C$30="No"</formula>
    </cfRule>
  </conditionalFormatting>
  <conditionalFormatting sqref="F25:I25">
    <cfRule type="expression" dxfId="11" priority="282">
      <formula>$C$30="No"</formula>
    </cfRule>
  </conditionalFormatting>
  <conditionalFormatting sqref="F29:I29">
    <cfRule type="expression" dxfId="10" priority="263">
      <formula>$C$30="No"</formula>
    </cfRule>
  </conditionalFormatting>
  <conditionalFormatting sqref="F33:I33">
    <cfRule type="expression" dxfId="9" priority="244">
      <formula>$C$30="No"</formula>
    </cfRule>
  </conditionalFormatting>
  <conditionalFormatting sqref="F37:I37">
    <cfRule type="expression" dxfId="8" priority="225">
      <formula>$C$30="No"</formula>
    </cfRule>
  </conditionalFormatting>
  <conditionalFormatting sqref="F42:I42">
    <cfRule type="expression" dxfId="7" priority="200">
      <formula>$C$30="No"</formula>
    </cfRule>
  </conditionalFormatting>
  <conditionalFormatting sqref="F47:I47">
    <cfRule type="expression" dxfId="6" priority="175">
      <formula>$C$30="No"</formula>
    </cfRule>
  </conditionalFormatting>
  <conditionalFormatting sqref="F54:I54">
    <cfRule type="expression" dxfId="5" priority="138">
      <formula>$C$30="No"</formula>
    </cfRule>
  </conditionalFormatting>
  <conditionalFormatting sqref="F58:I58">
    <cfRule type="expression" dxfId="4" priority="101">
      <formula>$C$30="No"</formula>
    </cfRule>
  </conditionalFormatting>
  <conditionalFormatting sqref="F62:I62">
    <cfRule type="expression" dxfId="3" priority="82">
      <formula>$C$30="No"</formula>
    </cfRule>
  </conditionalFormatting>
  <conditionalFormatting sqref="F66:I66">
    <cfRule type="expression" dxfId="2" priority="63">
      <formula>$C$30="No"</formula>
    </cfRule>
  </conditionalFormatting>
  <conditionalFormatting sqref="F70:I70">
    <cfRule type="expression" dxfId="1" priority="38">
      <formula>$C$30="No"</formula>
    </cfRule>
  </conditionalFormatting>
  <conditionalFormatting sqref="F74:I74">
    <cfRule type="expression" dxfId="0" priority="19">
      <formula>$C$30="No"</formula>
    </cfRule>
  </conditionalFormatting>
  <hyperlinks>
    <hyperlink ref="L35" r:id="rId1" display="Salary data" xr:uid="{00000000-0004-0000-1B00-000000000000}"/>
    <hyperlink ref="J22" r:id="rId2" xr:uid="{00000000-0004-0000-1B00-000001000000}"/>
    <hyperlink ref="J23" r:id="rId3" xr:uid="{00000000-0004-0000-1B00-000002000000}"/>
    <hyperlink ref="J24" r:id="rId4" xr:uid="{00000000-0004-0000-1B00-000003000000}"/>
    <hyperlink ref="J25" r:id="rId5" xr:uid="{00000000-0004-0000-1B00-000004000000}"/>
    <hyperlink ref="J29" r:id="rId6" xr:uid="{00000000-0004-0000-1B00-000005000000}"/>
    <hyperlink ref="J33" r:id="rId7" xr:uid="{00000000-0004-0000-1B00-000006000000}"/>
    <hyperlink ref="J34" r:id="rId8" xr:uid="{00000000-0004-0000-1B00-000007000000}"/>
    <hyperlink ref="J35" r:id="rId9" xr:uid="{00000000-0004-0000-1B00-000008000000}"/>
    <hyperlink ref="J36" r:id="rId10" xr:uid="{00000000-0004-0000-1B00-000009000000}"/>
    <hyperlink ref="J37" r:id="rId11" xr:uid="{00000000-0004-0000-1B00-00000A000000}"/>
    <hyperlink ref="J38" r:id="rId12" xr:uid="{00000000-0004-0000-1B00-00000B000000}"/>
    <hyperlink ref="J39" r:id="rId13" xr:uid="{00000000-0004-0000-1B00-00000C000000}"/>
    <hyperlink ref="J40" r:id="rId14" xr:uid="{00000000-0004-0000-1B00-00000D000000}"/>
    <hyperlink ref="J41" r:id="rId15" xr:uid="{00000000-0004-0000-1B00-00000E000000}"/>
    <hyperlink ref="J42" r:id="rId16" xr:uid="{00000000-0004-0000-1B00-00000F000000}"/>
    <hyperlink ref="J47" r:id="rId17" xr:uid="{00000000-0004-0000-1B00-000010000000}"/>
    <hyperlink ref="J54" r:id="rId18" xr:uid="{00000000-0004-0000-1B00-000011000000}"/>
    <hyperlink ref="J55" r:id="rId19" xr:uid="{00000000-0004-0000-1B00-000012000000}"/>
    <hyperlink ref="J56" r:id="rId20" xr:uid="{00000000-0004-0000-1B00-000013000000}"/>
    <hyperlink ref="J57" r:id="rId21" xr:uid="{00000000-0004-0000-1B00-000014000000}"/>
    <hyperlink ref="J58" r:id="rId22" xr:uid="{00000000-0004-0000-1B00-000015000000}"/>
    <hyperlink ref="J62" r:id="rId23" xr:uid="{00000000-0004-0000-1B00-000016000000}"/>
    <hyperlink ref="J66" r:id="rId24" xr:uid="{00000000-0004-0000-1B00-000017000000}"/>
    <hyperlink ref="J67" r:id="rId25" xr:uid="{00000000-0004-0000-1B00-000018000000}"/>
    <hyperlink ref="J68" r:id="rId26" xr:uid="{00000000-0004-0000-1B00-000019000000}"/>
    <hyperlink ref="J69" r:id="rId27" xr:uid="{00000000-0004-0000-1B00-00001A000000}"/>
    <hyperlink ref="J70" r:id="rId28" xr:uid="{00000000-0004-0000-1B00-00001B000000}"/>
    <hyperlink ref="J74" r:id="rId29" xr:uid="{00000000-0004-0000-1B00-00001C000000}"/>
    <hyperlink ref="J75" r:id="rId30" xr:uid="{00000000-0004-0000-1B00-00001D000000}"/>
    <hyperlink ref="J76" r:id="rId31" xr:uid="{00000000-0004-0000-1B00-00001E000000}"/>
    <hyperlink ref="J77" r:id="rId32" xr:uid="{00000000-0004-0000-1B00-00001F000000}"/>
  </hyperlinks>
  <pageMargins left="0.7" right="0.7" top="0.75" bottom="0.75" header="0.3" footer="0.3"/>
  <pageSetup orientation="portrait" r:id="rId33"/>
  <drawing r:id="rId3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G29"/>
  <sheetViews>
    <sheetView zoomScale="88" zoomScaleNormal="112" workbookViewId="0">
      <selection activeCell="E14" sqref="E14"/>
    </sheetView>
  </sheetViews>
  <sheetFormatPr defaultColWidth="8.7109375" defaultRowHeight="15" x14ac:dyDescent="0.25"/>
  <cols>
    <col min="2" max="2" width="21" customWidth="1"/>
    <col min="3" max="7" width="23.42578125" customWidth="1"/>
  </cols>
  <sheetData>
    <row r="1" spans="1:7" x14ac:dyDescent="0.25">
      <c r="A1" s="319" t="s">
        <v>430</v>
      </c>
      <c r="B1" s="320"/>
      <c r="C1" s="320"/>
    </row>
    <row r="3" spans="1:7" ht="28.15" customHeight="1" x14ac:dyDescent="0.25">
      <c r="A3" s="1001" t="s">
        <v>431</v>
      </c>
      <c r="B3" s="1001"/>
      <c r="C3" s="1001"/>
      <c r="D3" s="1001"/>
      <c r="E3" s="1001"/>
      <c r="F3" s="1001"/>
      <c r="G3" s="1001"/>
    </row>
    <row r="5" spans="1:7" ht="15.75" thickBot="1" x14ac:dyDescent="0.3"/>
    <row r="6" spans="1:7" ht="18.75" x14ac:dyDescent="0.25">
      <c r="B6" s="287"/>
      <c r="C6" s="321" t="s">
        <v>53</v>
      </c>
      <c r="D6" s="321" t="s">
        <v>54</v>
      </c>
      <c r="E6" s="322" t="s">
        <v>55</v>
      </c>
      <c r="F6" s="321" t="s">
        <v>56</v>
      </c>
      <c r="G6" s="322" t="s">
        <v>57</v>
      </c>
    </row>
    <row r="7" spans="1:7" s="323" customFormat="1" ht="21.75" customHeight="1" thickBot="1" x14ac:dyDescent="0.3">
      <c r="C7" s="324" t="s">
        <v>432</v>
      </c>
      <c r="D7" s="1002" t="s">
        <v>433</v>
      </c>
      <c r="E7" s="1003"/>
      <c r="F7" s="1002" t="s">
        <v>434</v>
      </c>
      <c r="G7" s="1003"/>
    </row>
    <row r="8" spans="1:7" ht="25.15" customHeight="1" x14ac:dyDescent="0.25">
      <c r="B8" s="325" t="s">
        <v>435</v>
      </c>
      <c r="C8" s="326">
        <v>2544578</v>
      </c>
      <c r="D8" s="327">
        <v>1335120</v>
      </c>
      <c r="E8" s="327">
        <v>487235</v>
      </c>
      <c r="F8" s="328">
        <v>613937</v>
      </c>
      <c r="G8" s="329" t="s">
        <v>436</v>
      </c>
    </row>
    <row r="9" spans="1:7" ht="25.15" customHeight="1" x14ac:dyDescent="0.25">
      <c r="B9" s="325" t="s">
        <v>437</v>
      </c>
      <c r="C9" s="330">
        <f>C8/C$12</f>
        <v>0.53260669127738591</v>
      </c>
      <c r="D9" s="331">
        <f>D8/D$12</f>
        <v>0.43209584869266343</v>
      </c>
      <c r="E9" s="331">
        <f>E8/E$12</f>
        <v>0.25468416361968432</v>
      </c>
      <c r="F9" s="332">
        <f>F8/F$12</f>
        <v>0.40268726223271678</v>
      </c>
      <c r="G9" s="333" t="s">
        <v>436</v>
      </c>
    </row>
    <row r="10" spans="1:7" ht="25.15" customHeight="1" x14ac:dyDescent="0.25">
      <c r="B10" s="325" t="s">
        <v>438</v>
      </c>
      <c r="C10" s="334">
        <v>2233015</v>
      </c>
      <c r="D10" s="335">
        <v>1754750</v>
      </c>
      <c r="E10" s="335">
        <v>1425860</v>
      </c>
      <c r="F10" s="336">
        <v>910663</v>
      </c>
      <c r="G10" s="336">
        <v>2978209</v>
      </c>
    </row>
    <row r="11" spans="1:7" ht="25.15" customHeight="1" x14ac:dyDescent="0.25">
      <c r="B11" s="325" t="s">
        <v>439</v>
      </c>
      <c r="C11" s="337">
        <f>C10/C$12</f>
        <v>0.46739330872261409</v>
      </c>
      <c r="D11" s="338">
        <f>D10/D$12</f>
        <v>0.56790415130733651</v>
      </c>
      <c r="E11" s="338">
        <f>E10/E$12</f>
        <v>0.74531583638031562</v>
      </c>
      <c r="F11" s="339">
        <f>F10/F$12</f>
        <v>0.59731273776728322</v>
      </c>
      <c r="G11" s="333" t="s">
        <v>436</v>
      </c>
    </row>
    <row r="12" spans="1:7" ht="25.15" customHeight="1" x14ac:dyDescent="0.25">
      <c r="B12" s="325" t="s">
        <v>440</v>
      </c>
      <c r="C12" s="340">
        <v>4777593</v>
      </c>
      <c r="D12" s="341">
        <v>3089870</v>
      </c>
      <c r="E12" s="341">
        <v>1913095</v>
      </c>
      <c r="F12" s="342">
        <v>1524600</v>
      </c>
      <c r="G12" s="333" t="s">
        <v>436</v>
      </c>
    </row>
    <row r="13" spans="1:7" x14ac:dyDescent="0.25">
      <c r="B13" s="343" t="s">
        <v>441</v>
      </c>
    </row>
    <row r="15" spans="1:7" ht="15.75" thickBot="1" x14ac:dyDescent="0.3"/>
    <row r="16" spans="1:7" ht="18.75" x14ac:dyDescent="0.25">
      <c r="B16" s="321" t="s">
        <v>53</v>
      </c>
    </row>
    <row r="17" spans="2:7" ht="111.75" customHeight="1" x14ac:dyDescent="0.25">
      <c r="B17" s="1004" t="s">
        <v>442</v>
      </c>
      <c r="C17" s="1005"/>
      <c r="D17" s="1005"/>
      <c r="E17" s="1005"/>
      <c r="F17" s="1005"/>
      <c r="G17" s="1005"/>
    </row>
    <row r="18" spans="2:7" ht="15.75" thickBot="1" x14ac:dyDescent="0.3"/>
    <row r="19" spans="2:7" ht="19.5" thickBot="1" x14ac:dyDescent="0.3">
      <c r="B19" s="321" t="s">
        <v>54</v>
      </c>
    </row>
    <row r="20" spans="2:7" ht="87.75" customHeight="1" thickBot="1" x14ac:dyDescent="0.3">
      <c r="B20" s="1006" t="s">
        <v>443</v>
      </c>
      <c r="C20" s="1007"/>
      <c r="D20" s="1007"/>
      <c r="E20" s="1007"/>
      <c r="F20" s="1007"/>
      <c r="G20" s="1008"/>
    </row>
    <row r="21" spans="2:7" ht="15.75" thickBot="1" x14ac:dyDescent="0.3"/>
    <row r="22" spans="2:7" ht="19.5" thickBot="1" x14ac:dyDescent="0.3">
      <c r="B22" s="322" t="s">
        <v>55</v>
      </c>
    </row>
    <row r="23" spans="2:7" ht="83.65" customHeight="1" thickBot="1" x14ac:dyDescent="0.3">
      <c r="B23" s="1006" t="s">
        <v>444</v>
      </c>
      <c r="C23" s="1009"/>
      <c r="D23" s="1009"/>
      <c r="E23" s="1009"/>
      <c r="F23" s="1009"/>
      <c r="G23" s="1010"/>
    </row>
    <row r="24" spans="2:7" ht="15.75" thickBot="1" x14ac:dyDescent="0.3"/>
    <row r="25" spans="2:7" ht="19.5" thickBot="1" x14ac:dyDescent="0.3">
      <c r="B25" s="321" t="s">
        <v>56</v>
      </c>
    </row>
    <row r="26" spans="2:7" ht="130.15" customHeight="1" thickBot="1" x14ac:dyDescent="0.3">
      <c r="B26" s="995" t="s">
        <v>445</v>
      </c>
      <c r="C26" s="996"/>
      <c r="D26" s="996"/>
      <c r="E26" s="996"/>
      <c r="F26" s="996"/>
      <c r="G26" s="997"/>
    </row>
    <row r="27" spans="2:7" ht="15.75" thickBot="1" x14ac:dyDescent="0.3"/>
    <row r="28" spans="2:7" ht="19.5" thickBot="1" x14ac:dyDescent="0.3">
      <c r="B28" s="322" t="s">
        <v>57</v>
      </c>
    </row>
    <row r="29" spans="2:7" ht="131.65" customHeight="1" thickBot="1" x14ac:dyDescent="0.3">
      <c r="B29" s="998" t="s">
        <v>446</v>
      </c>
      <c r="C29" s="999"/>
      <c r="D29" s="999"/>
      <c r="E29" s="999"/>
      <c r="F29" s="999"/>
      <c r="G29" s="1000"/>
    </row>
  </sheetData>
  <mergeCells count="8">
    <mergeCell ref="B26:G26"/>
    <mergeCell ref="B29:G29"/>
    <mergeCell ref="A3:G3"/>
    <mergeCell ref="D7:E7"/>
    <mergeCell ref="F7:G7"/>
    <mergeCell ref="B17:G17"/>
    <mergeCell ref="B20:G20"/>
    <mergeCell ref="B23:G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249977111117893"/>
  </sheetPr>
  <dimension ref="B1:B56"/>
  <sheetViews>
    <sheetView showGridLines="0" zoomScale="85" zoomScaleNormal="85" workbookViewId="0">
      <selection activeCell="E2" sqref="E2"/>
    </sheetView>
  </sheetViews>
  <sheetFormatPr defaultColWidth="8.7109375" defaultRowHeight="28.15" customHeight="1" x14ac:dyDescent="0.25"/>
  <cols>
    <col min="1" max="1" width="2.28515625" style="689" customWidth="1"/>
    <col min="2" max="2" width="217.7109375" style="689" customWidth="1"/>
    <col min="3" max="16384" width="8.7109375" style="689"/>
  </cols>
  <sheetData>
    <row r="1" spans="2:2" ht="15" customHeight="1" x14ac:dyDescent="0.25">
      <c r="B1" s="740" t="s">
        <v>1380</v>
      </c>
    </row>
    <row r="2" spans="2:2" ht="21" x14ac:dyDescent="0.25">
      <c r="B2" s="695" t="s">
        <v>1670</v>
      </c>
    </row>
    <row r="3" spans="2:2" ht="75" x14ac:dyDescent="0.25">
      <c r="B3" s="689" t="s">
        <v>1393</v>
      </c>
    </row>
    <row r="4" spans="2:2" ht="15" customHeight="1" x14ac:dyDescent="0.25"/>
    <row r="5" spans="2:2" ht="21" x14ac:dyDescent="0.25">
      <c r="B5" s="696" t="s">
        <v>1394</v>
      </c>
    </row>
    <row r="6" spans="2:2" ht="90" x14ac:dyDescent="0.25">
      <c r="B6" s="689" t="s">
        <v>1669</v>
      </c>
    </row>
    <row r="7" spans="2:2" ht="16.149999999999999" customHeight="1" x14ac:dyDescent="0.25">
      <c r="B7" s="690" t="s">
        <v>931</v>
      </c>
    </row>
    <row r="8" spans="2:2" ht="15" x14ac:dyDescent="0.25">
      <c r="B8" s="691"/>
    </row>
    <row r="9" spans="2:2" ht="21" x14ac:dyDescent="0.25">
      <c r="B9" s="696" t="s">
        <v>1395</v>
      </c>
    </row>
    <row r="10" spans="2:2" ht="31.9" customHeight="1" x14ac:dyDescent="0.25">
      <c r="B10" s="689" t="s">
        <v>1396</v>
      </c>
    </row>
    <row r="11" spans="2:2" ht="127.9" customHeight="1" x14ac:dyDescent="0.25"/>
    <row r="12" spans="2:2" ht="15" x14ac:dyDescent="0.25"/>
    <row r="13" spans="2:2" ht="25.15" customHeight="1" x14ac:dyDescent="0.25">
      <c r="B13" s="697"/>
    </row>
    <row r="14" spans="2:2" ht="15" x14ac:dyDescent="0.25"/>
    <row r="15" spans="2:2" ht="21" x14ac:dyDescent="0.25">
      <c r="B15" s="696" t="s">
        <v>1397</v>
      </c>
    </row>
    <row r="16" spans="2:2" ht="15" x14ac:dyDescent="0.25">
      <c r="B16" s="689" t="s">
        <v>1398</v>
      </c>
    </row>
    <row r="17" spans="2:2" ht="17.649999999999999" customHeight="1" x14ac:dyDescent="0.25">
      <c r="B17" s="698" t="s">
        <v>1399</v>
      </c>
    </row>
    <row r="18" spans="2:2" ht="15" x14ac:dyDescent="0.25"/>
    <row r="19" spans="2:2" ht="154.9" customHeight="1" x14ac:dyDescent="0.25"/>
    <row r="20" spans="2:2" ht="21" x14ac:dyDescent="0.25">
      <c r="B20" s="696" t="s">
        <v>1400</v>
      </c>
    </row>
    <row r="21" spans="2:2" ht="15" x14ac:dyDescent="0.25">
      <c r="B21" s="689" t="s">
        <v>1402</v>
      </c>
    </row>
    <row r="22" spans="2:2" ht="15" x14ac:dyDescent="0.25">
      <c r="B22" s="689" t="s">
        <v>1403</v>
      </c>
    </row>
    <row r="23" spans="2:2" ht="48" customHeight="1" x14ac:dyDescent="0.25">
      <c r="B23" s="941" t="s">
        <v>1404</v>
      </c>
    </row>
    <row r="24" spans="2:2" ht="60" x14ac:dyDescent="0.25">
      <c r="B24" s="689" t="s">
        <v>1401</v>
      </c>
    </row>
    <row r="25" spans="2:2" ht="30" x14ac:dyDescent="0.25">
      <c r="B25" s="689" t="s">
        <v>1405</v>
      </c>
    </row>
    <row r="26" spans="2:2" ht="15" x14ac:dyDescent="0.25"/>
    <row r="27" spans="2:2" ht="22.5" customHeight="1" x14ac:dyDescent="0.25">
      <c r="B27" s="696" t="s">
        <v>1406</v>
      </c>
    </row>
    <row r="28" spans="2:2" ht="198" customHeight="1" x14ac:dyDescent="0.25">
      <c r="B28" s="689" t="s">
        <v>1407</v>
      </c>
    </row>
    <row r="29" spans="2:2" ht="15" x14ac:dyDescent="0.25"/>
    <row r="30" spans="2:2" ht="22.5" customHeight="1" x14ac:dyDescent="0.25">
      <c r="B30" s="696" t="s">
        <v>1408</v>
      </c>
    </row>
    <row r="31" spans="2:2" ht="15" x14ac:dyDescent="0.25">
      <c r="B31" s="689" t="s">
        <v>1409</v>
      </c>
    </row>
    <row r="32" spans="2:2" ht="15" x14ac:dyDescent="0.25">
      <c r="B32" s="942" t="s">
        <v>1410</v>
      </c>
    </row>
    <row r="33" spans="2:2" ht="15" x14ac:dyDescent="0.25">
      <c r="B33" s="942" t="s">
        <v>1411</v>
      </c>
    </row>
    <row r="34" spans="2:2" ht="15" x14ac:dyDescent="0.25">
      <c r="B34" s="943" t="s">
        <v>1417</v>
      </c>
    </row>
    <row r="35" spans="2:2" ht="15" x14ac:dyDescent="0.25">
      <c r="B35" s="943" t="s">
        <v>1418</v>
      </c>
    </row>
    <row r="36" spans="2:2" ht="15" x14ac:dyDescent="0.25">
      <c r="B36" s="942" t="s">
        <v>1412</v>
      </c>
    </row>
    <row r="37" spans="2:2" ht="15" x14ac:dyDescent="0.25">
      <c r="B37" s="942" t="s">
        <v>1413</v>
      </c>
    </row>
    <row r="38" spans="2:2" ht="15" x14ac:dyDescent="0.25">
      <c r="B38" s="942" t="s">
        <v>1414</v>
      </c>
    </row>
    <row r="39" spans="2:2" ht="15" x14ac:dyDescent="0.25">
      <c r="B39" s="942" t="s">
        <v>1415</v>
      </c>
    </row>
    <row r="40" spans="2:2" ht="15" x14ac:dyDescent="0.25">
      <c r="B40" s="942" t="s">
        <v>1416</v>
      </c>
    </row>
    <row r="41" spans="2:2" ht="15" x14ac:dyDescent="0.25">
      <c r="B41" s="942" t="s">
        <v>1668</v>
      </c>
    </row>
    <row r="42" spans="2:2" ht="15" x14ac:dyDescent="0.25"/>
    <row r="43" spans="2:2" ht="22.5" customHeight="1" x14ac:dyDescent="0.25">
      <c r="B43" s="696" t="s">
        <v>1419</v>
      </c>
    </row>
    <row r="44" spans="2:2" ht="15" x14ac:dyDescent="0.25">
      <c r="B44" s="945" t="s">
        <v>1420</v>
      </c>
    </row>
    <row r="45" spans="2:2" ht="16.149999999999999" customHeight="1" x14ac:dyDescent="0.25">
      <c r="B45" s="944" t="s">
        <v>1421</v>
      </c>
    </row>
    <row r="46" spans="2:2" ht="16.149999999999999" customHeight="1" x14ac:dyDescent="0.25">
      <c r="B46" s="944" t="s">
        <v>1422</v>
      </c>
    </row>
    <row r="47" spans="2:2" ht="15" x14ac:dyDescent="0.25"/>
    <row r="48" spans="2:2" ht="22.5" customHeight="1" x14ac:dyDescent="0.25">
      <c r="B48" s="696" t="s">
        <v>1423</v>
      </c>
    </row>
    <row r="49" spans="2:2" ht="31.9" customHeight="1" x14ac:dyDescent="0.25">
      <c r="B49" s="692" t="s">
        <v>1424</v>
      </c>
    </row>
    <row r="50" spans="2:2" ht="15" x14ac:dyDescent="0.25">
      <c r="B50" s="699"/>
    </row>
    <row r="51" spans="2:2" ht="28.15" customHeight="1" x14ac:dyDescent="0.25">
      <c r="B51" s="696" t="s">
        <v>1425</v>
      </c>
    </row>
    <row r="52" spans="2:2" ht="58.15" customHeight="1" x14ac:dyDescent="0.25">
      <c r="B52" s="693" t="s">
        <v>1426</v>
      </c>
    </row>
    <row r="53" spans="2:2" ht="15" customHeight="1" x14ac:dyDescent="0.25">
      <c r="B53" s="700"/>
    </row>
    <row r="54" spans="2:2" ht="28.15" customHeight="1" x14ac:dyDescent="0.25">
      <c r="B54" s="696" t="s">
        <v>1427</v>
      </c>
    </row>
    <row r="55" spans="2:2" ht="16.149999999999999" customHeight="1" x14ac:dyDescent="0.25">
      <c r="B55" s="694" t="s">
        <v>1382</v>
      </c>
    </row>
    <row r="56" spans="2:2" ht="28.15" customHeight="1" x14ac:dyDescent="0.25">
      <c r="B56" s="463"/>
    </row>
  </sheetData>
  <sheetProtection formatColumns="0" formatRows="0" insertHyperlinks="0"/>
  <hyperlinks>
    <hyperlink ref="B23" r:id="rId1" display="•  The TCO is based on implementation of a digital public good (DPG). These are considered open-source software digital health tools that are adaptable to different countries and contexts. For more information on DPGs, please visit the Digital Square website.  This TCO can still be used for budgeting and benchmarking other software types including commercial off-the-shelf software or Software-as-a-Service models. Costs for these other software types may vary the allocation of costs across different categories. Additional costs such as licensing and subscriptions may also be included and should be added to Implementation Services during Deployment and/or Operations costs. " xr:uid="{00000000-0004-0000-0200-000000000000}"/>
    <hyperlink ref="B7" r:id="rId2" display="Suggested Source: Digital Square Digital Health Market Maturity" xr:uid="{00000000-0004-0000-0200-000001000000}"/>
    <hyperlink ref="B1" location="Menu!D7" tooltip="Menu" display="&lt;&lt; Menu" xr:uid="{00000000-0004-0000-0200-000002000000}"/>
    <hyperlink ref="B44" r:id="rId3" display="mailto:DigitalSquareTCO@path.org" xr:uid="{00000000-0004-0000-0200-000003000000}"/>
  </hyperlinks>
  <pageMargins left="0.7" right="0.7" top="0.75" bottom="0.75" header="0.3" footer="0.3"/>
  <pageSetup orientation="portrait" r:id="rId4"/>
  <drawing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P51"/>
  <sheetViews>
    <sheetView zoomScale="90" zoomScaleNormal="90" workbookViewId="0">
      <pane xSplit="1" ySplit="5" topLeftCell="B6" activePane="bottomRight" state="frozen"/>
      <selection pane="topRight" activeCell="C1" sqref="C1"/>
      <selection pane="bottomLeft" activeCell="A3" sqref="A3"/>
      <selection pane="bottomRight" activeCell="P52" sqref="P52"/>
    </sheetView>
  </sheetViews>
  <sheetFormatPr defaultColWidth="8.7109375" defaultRowHeight="14.25" x14ac:dyDescent="0.25"/>
  <cols>
    <col min="1" max="1" width="17" style="441" customWidth="1"/>
    <col min="2" max="2" width="76.7109375" style="441" customWidth="1"/>
    <col min="3" max="12" width="11.7109375" style="441" hidden="1" customWidth="1"/>
    <col min="13" max="13" width="21" style="447" customWidth="1"/>
    <col min="14" max="15" width="10.7109375" style="441" customWidth="1"/>
    <col min="16" max="16" width="24.28515625" style="447" customWidth="1"/>
    <col min="17" max="17" width="26.7109375" style="441" customWidth="1"/>
    <col min="18" max="16384" width="8.7109375" style="441"/>
  </cols>
  <sheetData>
    <row r="1" spans="1:16" x14ac:dyDescent="0.25">
      <c r="A1" s="440" t="s">
        <v>90</v>
      </c>
      <c r="B1" s="440"/>
      <c r="M1" s="442"/>
      <c r="N1" s="440"/>
      <c r="O1" s="440"/>
      <c r="P1" s="442"/>
    </row>
    <row r="2" spans="1:16" x14ac:dyDescent="0.25">
      <c r="A2" s="440" t="s">
        <v>92</v>
      </c>
      <c r="B2" s="440"/>
      <c r="M2" s="442"/>
      <c r="N2" s="440"/>
      <c r="O2" s="440"/>
      <c r="P2" s="442"/>
    </row>
    <row r="3" spans="1:16" x14ac:dyDescent="0.25">
      <c r="A3" s="440" t="s">
        <v>91</v>
      </c>
      <c r="B3" s="440"/>
      <c r="M3" s="442"/>
      <c r="N3" s="440"/>
      <c r="O3" s="440"/>
      <c r="P3" s="442"/>
    </row>
    <row r="4" spans="1:16" x14ac:dyDescent="0.25">
      <c r="A4" s="443" t="s">
        <v>50</v>
      </c>
      <c r="B4" s="443" t="s">
        <v>51</v>
      </c>
      <c r="C4" s="1012" t="s">
        <v>52</v>
      </c>
      <c r="D4" s="1012"/>
      <c r="E4" s="1012"/>
      <c r="F4" s="1012"/>
      <c r="G4" s="1012"/>
      <c r="H4" s="1012" t="s">
        <v>59</v>
      </c>
      <c r="I4" s="1012"/>
      <c r="J4" s="1012"/>
      <c r="K4" s="1012"/>
      <c r="L4" s="1012"/>
      <c r="M4" s="1012" t="s">
        <v>64</v>
      </c>
      <c r="N4" s="1012"/>
      <c r="O4" s="1012"/>
      <c r="P4" s="1012"/>
    </row>
    <row r="5" spans="1:16" x14ac:dyDescent="0.25">
      <c r="A5" s="1011" t="s">
        <v>499</v>
      </c>
      <c r="B5" s="1011"/>
      <c r="C5" s="444" t="s">
        <v>53</v>
      </c>
      <c r="D5" s="444" t="s">
        <v>54</v>
      </c>
      <c r="E5" s="444" t="s">
        <v>55</v>
      </c>
      <c r="F5" s="444" t="s">
        <v>56</v>
      </c>
      <c r="G5" s="444" t="s">
        <v>57</v>
      </c>
      <c r="H5" s="444" t="s">
        <v>53</v>
      </c>
      <c r="I5" s="444" t="s">
        <v>54</v>
      </c>
      <c r="J5" s="444" t="s">
        <v>55</v>
      </c>
      <c r="K5" s="444" t="s">
        <v>56</v>
      </c>
      <c r="L5" s="444" t="s">
        <v>57</v>
      </c>
      <c r="M5" s="445" t="s">
        <v>62</v>
      </c>
      <c r="N5" s="444" t="s">
        <v>69</v>
      </c>
      <c r="O5" s="444" t="s">
        <v>60</v>
      </c>
      <c r="P5" s="445" t="s">
        <v>61</v>
      </c>
    </row>
    <row r="6" spans="1:16" ht="91.5" customHeight="1" x14ac:dyDescent="0.25">
      <c r="A6" s="446" t="s">
        <v>0</v>
      </c>
      <c r="B6" s="447" t="s">
        <v>1</v>
      </c>
      <c r="C6" s="2">
        <v>153000</v>
      </c>
      <c r="E6" s="2">
        <v>82568</v>
      </c>
      <c r="F6" s="2">
        <v>311959</v>
      </c>
      <c r="G6" s="2">
        <v>0</v>
      </c>
      <c r="H6" s="3">
        <f t="shared" ref="H6:L8" si="0">C6/C$9</f>
        <v>0.20372836218375498</v>
      </c>
      <c r="I6" s="3">
        <f t="shared" si="0"/>
        <v>0</v>
      </c>
      <c r="J6" s="3">
        <f t="shared" si="0"/>
        <v>0.26465968754207025</v>
      </c>
      <c r="K6" s="3">
        <f t="shared" si="0"/>
        <v>0.58246294712707203</v>
      </c>
      <c r="L6" s="3" t="e">
        <f t="shared" si="0"/>
        <v>#DIV/0!</v>
      </c>
      <c r="M6" s="1" t="s">
        <v>86</v>
      </c>
      <c r="N6" s="4">
        <v>10000</v>
      </c>
      <c r="O6" s="448">
        <f>N6/$N$9</f>
        <v>1.6447368421052631E-2</v>
      </c>
      <c r="P6" s="9" t="str">
        <f>IF(O6&lt;20%,"Check should be between 20% and 40% of Project Scoping Costs", IF(O6&gt;40%, "Check should be between 20% and 40% of Project Scoping Costs","Valid input"))</f>
        <v>Check should be between 20% and 40% of Project Scoping Costs</v>
      </c>
    </row>
    <row r="7" spans="1:16" ht="57" x14ac:dyDescent="0.25">
      <c r="A7" s="446" t="s">
        <v>2</v>
      </c>
      <c r="B7" s="447" t="s">
        <v>58</v>
      </c>
      <c r="C7" s="2">
        <v>16000</v>
      </c>
      <c r="E7" s="2">
        <v>24090</v>
      </c>
      <c r="F7" s="2">
        <v>0</v>
      </c>
      <c r="G7" s="2">
        <v>0</v>
      </c>
      <c r="H7" s="3">
        <f t="shared" si="0"/>
        <v>2.1304926764314249E-2</v>
      </c>
      <c r="I7" s="3">
        <f t="shared" si="0"/>
        <v>0</v>
      </c>
      <c r="J7" s="3">
        <f t="shared" si="0"/>
        <v>7.721698324881883E-2</v>
      </c>
      <c r="K7" s="3">
        <f t="shared" si="0"/>
        <v>0</v>
      </c>
      <c r="L7" s="3" t="e">
        <f t="shared" si="0"/>
        <v>#DIV/0!</v>
      </c>
      <c r="M7" s="1" t="s">
        <v>87</v>
      </c>
      <c r="N7" s="4">
        <v>16000</v>
      </c>
      <c r="O7" s="448">
        <f>N7/$N$9</f>
        <v>2.6315789473684209E-2</v>
      </c>
      <c r="P7" s="9" t="str">
        <f>IF(O7&lt;2%,"Check should be between 2% and 10% of Project Scoping Costs", IF(O7&gt;10%, "Check should be between 2% and 10% of Project Scoping Costs","Valid input"))</f>
        <v>Valid input</v>
      </c>
    </row>
    <row r="8" spans="1:16" ht="85.5" x14ac:dyDescent="0.25">
      <c r="A8" s="446" t="s">
        <v>3</v>
      </c>
      <c r="B8" s="447" t="s">
        <v>4</v>
      </c>
      <c r="C8" s="2">
        <v>582000</v>
      </c>
      <c r="D8" s="2">
        <v>221760</v>
      </c>
      <c r="E8" s="2">
        <v>205320</v>
      </c>
      <c r="F8" s="2">
        <v>223627</v>
      </c>
      <c r="G8" s="2">
        <v>0</v>
      </c>
      <c r="H8" s="3">
        <f t="shared" si="0"/>
        <v>0.77496671105193071</v>
      </c>
      <c r="I8" s="3">
        <f t="shared" si="0"/>
        <v>1</v>
      </c>
      <c r="J8" s="3">
        <f t="shared" si="0"/>
        <v>0.65812332920911087</v>
      </c>
      <c r="K8" s="3">
        <f t="shared" si="0"/>
        <v>0.41753705287292797</v>
      </c>
      <c r="L8" s="3" t="e">
        <f t="shared" si="0"/>
        <v>#DIV/0!</v>
      </c>
      <c r="M8" s="1" t="s">
        <v>63</v>
      </c>
      <c r="N8" s="4">
        <v>582000</v>
      </c>
      <c r="O8" s="448">
        <f>N8/$N$9</f>
        <v>0.95723684210526316</v>
      </c>
      <c r="P8" s="9" t="str">
        <f>IF(O8&lt;60%,"Check should be greater than or equal to 60% of Project Scoping Costs","Valid input")</f>
        <v>Valid input</v>
      </c>
    </row>
    <row r="9" spans="1:16" x14ac:dyDescent="0.25">
      <c r="A9" s="449"/>
      <c r="B9" s="450"/>
      <c r="C9" s="5">
        <f>SUM(C6:C8)</f>
        <v>751000</v>
      </c>
      <c r="D9" s="5">
        <f>SUM(D6:D8)</f>
        <v>221760</v>
      </c>
      <c r="E9" s="5">
        <f>SUM(E6:E8)</f>
        <v>311978</v>
      </c>
      <c r="F9" s="5">
        <f>SUM(F6:F8)</f>
        <v>535586</v>
      </c>
      <c r="G9" s="5">
        <f>SUM(G6:G8)</f>
        <v>0</v>
      </c>
      <c r="H9" s="451"/>
      <c r="I9" s="451"/>
      <c r="J9" s="451"/>
      <c r="K9" s="451"/>
      <c r="L9" s="451"/>
      <c r="M9" s="450"/>
      <c r="N9" s="452">
        <f>SUM(N6:N8)</f>
        <v>608000</v>
      </c>
      <c r="O9" s="453">
        <f>SUM(O6:O8)</f>
        <v>1</v>
      </c>
      <c r="P9" s="10" t="str">
        <f>IF(O9=100%,"Correct","Adjust data values to equal 100")</f>
        <v>Correct</v>
      </c>
    </row>
    <row r="10" spans="1:16" x14ac:dyDescent="0.25">
      <c r="A10" s="1011" t="s">
        <v>500</v>
      </c>
      <c r="B10" s="1011"/>
      <c r="C10" s="444" t="s">
        <v>53</v>
      </c>
      <c r="D10" s="444" t="s">
        <v>54</v>
      </c>
      <c r="E10" s="444" t="s">
        <v>55</v>
      </c>
      <c r="F10" s="444" t="s">
        <v>56</v>
      </c>
      <c r="G10" s="444" t="s">
        <v>57</v>
      </c>
      <c r="H10" s="444" t="s">
        <v>53</v>
      </c>
      <c r="I10" s="444" t="s">
        <v>54</v>
      </c>
      <c r="J10" s="444" t="s">
        <v>55</v>
      </c>
      <c r="K10" s="444" t="s">
        <v>56</v>
      </c>
      <c r="L10" s="444" t="s">
        <v>57</v>
      </c>
      <c r="M10" s="445" t="s">
        <v>62</v>
      </c>
      <c r="N10" s="444"/>
      <c r="O10" s="444" t="s">
        <v>60</v>
      </c>
      <c r="P10" s="445" t="s">
        <v>61</v>
      </c>
    </row>
    <row r="11" spans="1:16" ht="28.5" x14ac:dyDescent="0.25">
      <c r="A11" s="446" t="s">
        <v>84</v>
      </c>
      <c r="B11" s="447" t="s">
        <v>85</v>
      </c>
      <c r="C11" s="454"/>
      <c r="D11" s="454"/>
      <c r="E11" s="454"/>
      <c r="F11" s="454"/>
      <c r="G11" s="454"/>
      <c r="H11" s="454"/>
      <c r="I11" s="454"/>
      <c r="J11" s="454"/>
      <c r="K11" s="454"/>
      <c r="L11" s="454"/>
      <c r="M11" s="455" t="s">
        <v>73</v>
      </c>
      <c r="N11" s="456" t="s">
        <v>65</v>
      </c>
      <c r="O11" s="457" t="s">
        <v>70</v>
      </c>
      <c r="P11" s="457" t="s">
        <v>70</v>
      </c>
    </row>
    <row r="12" spans="1:16" ht="70.150000000000006" customHeight="1" x14ac:dyDescent="0.25">
      <c r="A12" s="446" t="s">
        <v>5</v>
      </c>
      <c r="B12" s="447" t="s">
        <v>6</v>
      </c>
      <c r="C12" s="2">
        <v>42590</v>
      </c>
      <c r="D12" s="2">
        <v>270000</v>
      </c>
      <c r="E12" s="2">
        <v>60000</v>
      </c>
      <c r="F12" s="2">
        <v>40936</v>
      </c>
      <c r="G12" s="2">
        <v>0</v>
      </c>
      <c r="H12" s="3" t="e">
        <f>C12/#REF!</f>
        <v>#REF!</v>
      </c>
      <c r="I12" s="3" t="e">
        <f>D12/#REF!</f>
        <v>#REF!</v>
      </c>
      <c r="J12" s="3" t="e">
        <f>E12/#REF!</f>
        <v>#REF!</v>
      </c>
      <c r="K12" s="3" t="e">
        <f>F12/#REF!</f>
        <v>#REF!</v>
      </c>
      <c r="L12" s="3" t="e">
        <f>G12/#REF!</f>
        <v>#REF!</v>
      </c>
      <c r="M12" s="1" t="str">
        <f>IF(N11="no","Greater than 50% of the Deployment Costs","Please input appropriate costs taking equipment and infrastructure sharing into consideration")</f>
        <v>Please input appropriate costs taking equipment and infrastructure sharing into consideration</v>
      </c>
      <c r="N12" s="4">
        <f>C12+C13</f>
        <v>185590</v>
      </c>
      <c r="O12" s="448">
        <f>N12/N19</f>
        <v>9.3292341472389309E-2</v>
      </c>
      <c r="P12" s="9" t="str">
        <f>IF(AND(O12&lt;40%,N11="no"),"Check should be greater than 50% of Deployment Costs","Valid input")</f>
        <v>Valid input</v>
      </c>
    </row>
    <row r="13" spans="1:16" ht="72" customHeight="1" x14ac:dyDescent="0.25">
      <c r="A13" s="446" t="s">
        <v>7</v>
      </c>
      <c r="B13" s="447" t="s">
        <v>8</v>
      </c>
      <c r="C13" s="2">
        <v>143000</v>
      </c>
      <c r="D13" s="2">
        <v>5000</v>
      </c>
      <c r="E13" s="2">
        <v>12325</v>
      </c>
      <c r="F13" s="2">
        <v>37415</v>
      </c>
      <c r="G13" s="2">
        <v>0</v>
      </c>
      <c r="H13" s="3" t="e">
        <f>C13/#REF!</f>
        <v>#REF!</v>
      </c>
      <c r="I13" s="3" t="e">
        <f>D13/#REF!</f>
        <v>#REF!</v>
      </c>
      <c r="J13" s="3" t="e">
        <f>E13/#REF!</f>
        <v>#REF!</v>
      </c>
      <c r="K13" s="3" t="e">
        <f>F13/#REF!</f>
        <v>#REF!</v>
      </c>
      <c r="L13" s="3" t="e">
        <f>G13/#REF!</f>
        <v>#REF!</v>
      </c>
      <c r="M13" s="1" t="s">
        <v>67</v>
      </c>
      <c r="N13" s="4"/>
      <c r="O13" s="448"/>
      <c r="P13" s="1"/>
    </row>
    <row r="14" spans="1:16" ht="28.5" x14ac:dyDescent="0.25">
      <c r="A14" s="446" t="s">
        <v>9</v>
      </c>
      <c r="B14" s="447" t="s">
        <v>10</v>
      </c>
      <c r="C14" s="2">
        <v>0</v>
      </c>
      <c r="D14" s="2">
        <v>240</v>
      </c>
      <c r="E14" s="2">
        <v>0</v>
      </c>
      <c r="F14" s="2">
        <v>0</v>
      </c>
      <c r="G14" s="2">
        <v>0</v>
      </c>
      <c r="H14" s="3" t="e">
        <f>C14/#REF!</f>
        <v>#REF!</v>
      </c>
      <c r="I14" s="3" t="e">
        <f>D14/#REF!</f>
        <v>#REF!</v>
      </c>
      <c r="J14" s="3" t="e">
        <f>E14/#REF!</f>
        <v>#REF!</v>
      </c>
      <c r="K14" s="3" t="e">
        <f>F14/#REF!</f>
        <v>#REF!</v>
      </c>
      <c r="L14" s="3" t="e">
        <f>G14/#REF!</f>
        <v>#REF!</v>
      </c>
      <c r="M14" s="1" t="s">
        <v>68</v>
      </c>
      <c r="N14" s="4">
        <v>0</v>
      </c>
    </row>
    <row r="15" spans="1:16" ht="57" x14ac:dyDescent="0.25">
      <c r="A15" s="446" t="s">
        <v>11</v>
      </c>
      <c r="B15" s="447" t="s">
        <v>12</v>
      </c>
      <c r="C15" s="2">
        <v>56850</v>
      </c>
      <c r="D15" s="2">
        <v>310</v>
      </c>
      <c r="E15" s="2">
        <v>0</v>
      </c>
      <c r="F15" s="2">
        <v>0</v>
      </c>
      <c r="G15" s="2">
        <v>0</v>
      </c>
      <c r="H15" s="3" t="e">
        <f>C15/#REF!</f>
        <v>#REF!</v>
      </c>
      <c r="I15" s="3" t="e">
        <f>D15/#REF!</f>
        <v>#REF!</v>
      </c>
      <c r="J15" s="3" t="e">
        <f>E15/#REF!</f>
        <v>#REF!</v>
      </c>
      <c r="K15" s="3" t="e">
        <f>F15/#REF!</f>
        <v>#REF!</v>
      </c>
      <c r="L15" s="3" t="e">
        <f>G15/#REF!</f>
        <v>#REF!</v>
      </c>
      <c r="M15" s="1" t="s">
        <v>72</v>
      </c>
      <c r="N15" s="4">
        <v>56850</v>
      </c>
      <c r="O15" s="448">
        <f>N15/N19</f>
        <v>2.857734583062305E-2</v>
      </c>
      <c r="P15" s="1" t="str">
        <f>IF(AND(O15&gt;10%,P11="no"),"Check should be 10% or less of Deployment Costs","Valid input")</f>
        <v>Valid input</v>
      </c>
    </row>
    <row r="16" spans="1:16" ht="55.5" customHeight="1" x14ac:dyDescent="0.25">
      <c r="A16" s="446" t="s">
        <v>13</v>
      </c>
      <c r="B16" s="447" t="s">
        <v>14</v>
      </c>
      <c r="C16" s="2">
        <v>981200</v>
      </c>
      <c r="D16" s="2">
        <v>74750</v>
      </c>
      <c r="E16" s="2">
        <v>90000</v>
      </c>
      <c r="F16" s="2">
        <v>0</v>
      </c>
      <c r="G16" s="2">
        <v>0</v>
      </c>
      <c r="H16" s="3" t="e">
        <f>C16/#REF!</f>
        <v>#REF!</v>
      </c>
      <c r="I16" s="3" t="e">
        <f>D16/#REF!</f>
        <v>#REF!</v>
      </c>
      <c r="J16" s="3" t="e">
        <f>E16/#REF!</f>
        <v>#REF!</v>
      </c>
      <c r="K16" s="3" t="e">
        <f>F16/#REF!</f>
        <v>#REF!</v>
      </c>
      <c r="L16" s="3" t="e">
        <f>G16/#REF!</f>
        <v>#REF!</v>
      </c>
      <c r="M16" s="1" t="str">
        <f>IF(N11="no","Between 20% to 50% of the Deployment Costs","Please input appropriate costs")</f>
        <v>Please input appropriate costs</v>
      </c>
      <c r="N16" s="4">
        <v>981200</v>
      </c>
      <c r="O16" s="448">
        <f>N16/N19</f>
        <v>0.49322940596318976</v>
      </c>
      <c r="P16" s="11" t="str">
        <f>IF(OR(AND(N11="no",O16&lt;51%,O16&gt;19%), OR(N11="yes")),"Valid input","Between 20% and 50% of Deployment costs")</f>
        <v>Valid input</v>
      </c>
    </row>
    <row r="17" spans="1:16" ht="42.75" x14ac:dyDescent="0.25">
      <c r="A17" s="446" t="s">
        <v>15</v>
      </c>
      <c r="B17" s="447" t="s">
        <v>16</v>
      </c>
      <c r="C17" s="2">
        <v>70638</v>
      </c>
      <c r="D17" s="2">
        <v>68000</v>
      </c>
      <c r="E17" s="2">
        <v>12932</v>
      </c>
      <c r="F17" s="2">
        <v>0</v>
      </c>
      <c r="G17" s="2">
        <v>0</v>
      </c>
      <c r="H17" s="3" t="e">
        <f>C17/#REF!</f>
        <v>#REF!</v>
      </c>
      <c r="I17" s="3" t="e">
        <f>D17/#REF!</f>
        <v>#REF!</v>
      </c>
      <c r="J17" s="3" t="e">
        <f>E17/#REF!</f>
        <v>#REF!</v>
      </c>
      <c r="K17" s="3" t="e">
        <f>F17/#REF!</f>
        <v>#REF!</v>
      </c>
      <c r="L17" s="3" t="e">
        <f>G17/#REF!</f>
        <v>#REF!</v>
      </c>
      <c r="M17" s="1" t="s">
        <v>71</v>
      </c>
      <c r="N17" s="4">
        <v>70638</v>
      </c>
      <c r="O17" s="448">
        <f>N17/N19</f>
        <v>3.5508294719147779E-2</v>
      </c>
      <c r="P17" s="447" t="str">
        <f>IF(AND(O17&lt;21%,O17&gt;4%),"Valid input","Check should be between 5% and 20% of the Deployment costs")</f>
        <v>Check should be between 5% and 20% of the Deployment costs</v>
      </c>
    </row>
    <row r="18" spans="1:16" ht="42.75" x14ac:dyDescent="0.25">
      <c r="A18" s="446" t="s">
        <v>17</v>
      </c>
      <c r="B18" s="447" t="s">
        <v>18</v>
      </c>
      <c r="C18" s="2">
        <v>499300</v>
      </c>
      <c r="D18" s="2">
        <v>695060</v>
      </c>
      <c r="E18" s="2">
        <v>0</v>
      </c>
      <c r="F18" s="6">
        <v>0</v>
      </c>
      <c r="G18" s="2">
        <v>0</v>
      </c>
      <c r="H18" s="3">
        <f>C18/C19</f>
        <v>1</v>
      </c>
      <c r="I18" s="3">
        <f>D18/D19</f>
        <v>1</v>
      </c>
      <c r="J18" s="3" t="e">
        <f>E18/E19</f>
        <v>#DIV/0!</v>
      </c>
      <c r="K18" s="3" t="e">
        <f>F18/F19</f>
        <v>#DIV/0!</v>
      </c>
      <c r="L18" s="3" t="e">
        <f>G18/G19</f>
        <v>#DIV/0!</v>
      </c>
      <c r="M18" s="1" t="s">
        <v>93</v>
      </c>
      <c r="N18" s="12">
        <f>D18</f>
        <v>695060</v>
      </c>
      <c r="O18" s="3">
        <f>N18/N36</f>
        <v>0.14728971122901277</v>
      </c>
      <c r="P18" s="447" t="str">
        <f>IF(AND(O18&gt;9%,O18&lt;21%),"Valid input", "Between 10% and 20% of the Total Cost of Ownership (TCO)")</f>
        <v>Valid input</v>
      </c>
    </row>
    <row r="19" spans="1:16" x14ac:dyDescent="0.25">
      <c r="A19" s="449"/>
      <c r="B19" s="450"/>
      <c r="C19" s="5">
        <f>C18</f>
        <v>499300</v>
      </c>
      <c r="D19" s="5">
        <f>D18</f>
        <v>695060</v>
      </c>
      <c r="E19" s="5">
        <f>E18</f>
        <v>0</v>
      </c>
      <c r="F19" s="5">
        <f>F18</f>
        <v>0</v>
      </c>
      <c r="G19" s="5">
        <f>G18</f>
        <v>0</v>
      </c>
      <c r="H19" s="451"/>
      <c r="I19" s="451"/>
      <c r="J19" s="451"/>
      <c r="K19" s="451"/>
      <c r="L19" s="451"/>
      <c r="M19" s="450"/>
      <c r="N19" s="452">
        <f>SUM(N12:N18)</f>
        <v>1989338</v>
      </c>
      <c r="O19" s="453"/>
      <c r="P19" s="10"/>
    </row>
    <row r="20" spans="1:16" x14ac:dyDescent="0.25">
      <c r="A20" s="1011" t="s">
        <v>501</v>
      </c>
      <c r="B20" s="1011"/>
      <c r="C20" s="444" t="s">
        <v>53</v>
      </c>
      <c r="D20" s="444" t="s">
        <v>54</v>
      </c>
      <c r="E20" s="444" t="s">
        <v>55</v>
      </c>
      <c r="F20" s="444" t="s">
        <v>56</v>
      </c>
      <c r="G20" s="444" t="s">
        <v>57</v>
      </c>
      <c r="H20" s="444" t="s">
        <v>53</v>
      </c>
      <c r="I20" s="444" t="s">
        <v>54</v>
      </c>
      <c r="J20" s="444" t="s">
        <v>55</v>
      </c>
      <c r="K20" s="444" t="s">
        <v>56</v>
      </c>
      <c r="L20" s="444" t="s">
        <v>57</v>
      </c>
      <c r="M20" s="445" t="s">
        <v>62</v>
      </c>
      <c r="N20" s="444"/>
      <c r="O20" s="444" t="s">
        <v>60</v>
      </c>
      <c r="P20" s="445" t="s">
        <v>61</v>
      </c>
    </row>
    <row r="21" spans="1:16" ht="57" x14ac:dyDescent="0.25">
      <c r="A21" s="446" t="s">
        <v>19</v>
      </c>
      <c r="B21" s="447" t="s">
        <v>20</v>
      </c>
      <c r="C21" s="2">
        <v>34072</v>
      </c>
      <c r="D21" s="2">
        <v>405000</v>
      </c>
      <c r="E21" s="2">
        <v>60000</v>
      </c>
      <c r="F21" s="2">
        <v>0</v>
      </c>
      <c r="G21" s="2">
        <v>0</v>
      </c>
      <c r="H21" s="3">
        <f>C21/C$35</f>
        <v>1.5258294279259208E-2</v>
      </c>
      <c r="I21" s="3">
        <f>D21/D$35</f>
        <v>0.2308021085624733</v>
      </c>
      <c r="J21" s="3">
        <f>E21/E$35</f>
        <v>4.2079867588683324E-2</v>
      </c>
      <c r="K21" s="3">
        <f>F21/F$35</f>
        <v>0</v>
      </c>
      <c r="L21" s="3">
        <f>G21/G$35</f>
        <v>0</v>
      </c>
      <c r="M21" s="1" t="s">
        <v>74</v>
      </c>
      <c r="N21" s="12">
        <f>N12/5</f>
        <v>37118</v>
      </c>
      <c r="O21" s="3">
        <f>N21/N35</f>
        <v>1.7494783568157212E-2</v>
      </c>
      <c r="P21" s="447" t="str">
        <f>IF(AND(N21&lt;=N12/4,N21&gt;=N12/5),"Valid input", "Budget for replacement every 4 to 5 years")</f>
        <v>Valid input</v>
      </c>
    </row>
    <row r="22" spans="1:16" ht="28.5" x14ac:dyDescent="0.25">
      <c r="A22" s="446" t="s">
        <v>21</v>
      </c>
      <c r="B22" s="447" t="s">
        <v>22</v>
      </c>
      <c r="C22" s="2">
        <v>114400</v>
      </c>
      <c r="D22" s="2">
        <v>300000</v>
      </c>
      <c r="E22" s="2">
        <v>49300</v>
      </c>
      <c r="F22" s="2">
        <v>61184</v>
      </c>
      <c r="G22" s="2">
        <v>0</v>
      </c>
      <c r="H22" s="3">
        <f t="shared" ref="H22:L34" si="1">C22/C$35</f>
        <v>5.1231182952196919E-2</v>
      </c>
      <c r="I22" s="3">
        <f t="shared" si="1"/>
        <v>0.17096452486109132</v>
      </c>
      <c r="J22" s="3">
        <f t="shared" si="1"/>
        <v>3.4575624535368131E-2</v>
      </c>
      <c r="K22" s="3">
        <f t="shared" si="1"/>
        <v>6.7186214878610415E-2</v>
      </c>
      <c r="L22" s="3">
        <f t="shared" si="1"/>
        <v>0</v>
      </c>
      <c r="M22" s="1" t="s">
        <v>67</v>
      </c>
      <c r="N22" s="7"/>
    </row>
    <row r="23" spans="1:16" ht="42.75" x14ac:dyDescent="0.25">
      <c r="A23" s="446" t="s">
        <v>23</v>
      </c>
      <c r="B23" s="447" t="s">
        <v>24</v>
      </c>
      <c r="C23" s="2">
        <v>0</v>
      </c>
      <c r="D23" s="2">
        <v>0</v>
      </c>
      <c r="E23" s="2">
        <v>9450</v>
      </c>
      <c r="F23" s="2">
        <v>0</v>
      </c>
      <c r="G23" s="2">
        <v>0</v>
      </c>
      <c r="H23" s="3">
        <f t="shared" si="1"/>
        <v>0</v>
      </c>
      <c r="I23" s="3">
        <f t="shared" si="1"/>
        <v>0</v>
      </c>
      <c r="J23" s="3">
        <f t="shared" si="1"/>
        <v>6.6275791452176233E-3</v>
      </c>
      <c r="K23" s="3">
        <f t="shared" si="1"/>
        <v>0</v>
      </c>
      <c r="L23" s="3">
        <f t="shared" si="1"/>
        <v>0</v>
      </c>
      <c r="M23" s="1" t="s">
        <v>94</v>
      </c>
      <c r="N23" s="7"/>
    </row>
    <row r="24" spans="1:16" ht="28.5" x14ac:dyDescent="0.25">
      <c r="A24" s="446" t="s">
        <v>25</v>
      </c>
      <c r="B24" s="447" t="s">
        <v>26</v>
      </c>
      <c r="C24" s="2">
        <v>0</v>
      </c>
      <c r="D24" s="2">
        <v>216000</v>
      </c>
      <c r="E24" s="2">
        <v>27000</v>
      </c>
      <c r="F24" s="2">
        <v>0</v>
      </c>
      <c r="G24" s="2">
        <v>105000</v>
      </c>
      <c r="H24" s="3">
        <f t="shared" si="1"/>
        <v>0</v>
      </c>
      <c r="I24" s="3">
        <f t="shared" si="1"/>
        <v>0.12309445789998576</v>
      </c>
      <c r="J24" s="3">
        <f t="shared" si="1"/>
        <v>1.8935940414907496E-2</v>
      </c>
      <c r="K24" s="3">
        <f t="shared" si="1"/>
        <v>0</v>
      </c>
      <c r="L24" s="3">
        <f t="shared" si="1"/>
        <v>3.5256088474650366E-2</v>
      </c>
      <c r="M24" s="1" t="s">
        <v>95</v>
      </c>
      <c r="N24" s="7"/>
    </row>
    <row r="25" spans="1:16" ht="57" x14ac:dyDescent="0.25">
      <c r="A25" s="446" t="s">
        <v>27</v>
      </c>
      <c r="B25" s="447" t="s">
        <v>28</v>
      </c>
      <c r="C25" s="2">
        <v>403308</v>
      </c>
      <c r="D25" s="2">
        <v>287500</v>
      </c>
      <c r="E25" s="2">
        <v>450000</v>
      </c>
      <c r="F25" s="2">
        <v>0</v>
      </c>
      <c r="G25" s="2">
        <v>265778</v>
      </c>
      <c r="H25" s="3">
        <f t="shared" si="1"/>
        <v>0.18061141550773283</v>
      </c>
      <c r="I25" s="3">
        <f t="shared" si="1"/>
        <v>0.16384100299187918</v>
      </c>
      <c r="J25" s="3">
        <f t="shared" si="1"/>
        <v>0.31559900691512488</v>
      </c>
      <c r="K25" s="3">
        <f t="shared" si="1"/>
        <v>0</v>
      </c>
      <c r="L25" s="3">
        <f t="shared" si="1"/>
        <v>8.9240882691577386E-2</v>
      </c>
      <c r="M25" s="1" t="s">
        <v>96</v>
      </c>
      <c r="N25" s="12">
        <f>C25</f>
        <v>403308</v>
      </c>
      <c r="O25" s="3">
        <f>N25/N35</f>
        <v>0.19009068838047172</v>
      </c>
      <c r="P25" s="447" t="str">
        <f>IF(AND(O25&gt;14%,O25&lt;31%), "Valid input","Between 15% and 30% of the Operations Costs")</f>
        <v>Valid input</v>
      </c>
    </row>
    <row r="26" spans="1:16" ht="99.75" x14ac:dyDescent="0.25">
      <c r="A26" s="446" t="s">
        <v>29</v>
      </c>
      <c r="B26" s="447" t="s">
        <v>30</v>
      </c>
      <c r="C26" s="2">
        <v>364170</v>
      </c>
      <c r="D26" s="2">
        <v>85000</v>
      </c>
      <c r="E26" s="2">
        <v>454350</v>
      </c>
      <c r="F26" s="2">
        <v>277352</v>
      </c>
      <c r="G26" s="2">
        <v>271409</v>
      </c>
      <c r="H26" s="3">
        <f t="shared" si="1"/>
        <v>0.16308443964774083</v>
      </c>
      <c r="I26" s="3">
        <f t="shared" si="1"/>
        <v>4.8439948710642541E-2</v>
      </c>
      <c r="J26" s="3">
        <f t="shared" si="1"/>
        <v>0.31864979731530446</v>
      </c>
      <c r="K26" s="3">
        <f t="shared" si="1"/>
        <v>0.3045605234867344</v>
      </c>
      <c r="L26" s="3">
        <f t="shared" si="1"/>
        <v>9.1131616350632202E-2</v>
      </c>
      <c r="M26" s="1" t="s">
        <v>97</v>
      </c>
      <c r="N26" s="12">
        <f>C26</f>
        <v>364170</v>
      </c>
      <c r="O26" s="3">
        <f>N26/N35</f>
        <v>0.17164382057265509</v>
      </c>
      <c r="P26" s="447" t="str">
        <f>IF(AND(O26&gt;4%,O26&lt;31%), "Valid input","Between 5% and 30% of the Operations Costs")</f>
        <v>Valid input</v>
      </c>
    </row>
    <row r="27" spans="1:16" ht="28.5" x14ac:dyDescent="0.25">
      <c r="A27" s="446" t="s">
        <v>31</v>
      </c>
      <c r="B27" s="447" t="s">
        <v>32</v>
      </c>
      <c r="C27" s="2">
        <v>137225</v>
      </c>
      <c r="D27" s="2">
        <v>170000</v>
      </c>
      <c r="E27" s="2">
        <v>300000</v>
      </c>
      <c r="F27" s="2">
        <v>240336</v>
      </c>
      <c r="G27" s="2">
        <v>460857</v>
      </c>
      <c r="H27" s="3">
        <f t="shared" si="1"/>
        <v>6.1452789166216978E-2</v>
      </c>
      <c r="I27" s="3">
        <f t="shared" si="1"/>
        <v>9.6879897421285083E-2</v>
      </c>
      <c r="J27" s="3">
        <f t="shared" si="1"/>
        <v>0.21039933794341661</v>
      </c>
      <c r="K27" s="3">
        <f t="shared" si="1"/>
        <v>0.26391321487751229</v>
      </c>
      <c r="L27" s="3">
        <f t="shared" si="1"/>
        <v>0.15474300158249471</v>
      </c>
      <c r="M27" s="1" t="s">
        <v>75</v>
      </c>
      <c r="N27" s="12">
        <f>C27</f>
        <v>137225</v>
      </c>
      <c r="O27" s="3">
        <f>N27/N35</f>
        <v>6.467809890458466E-2</v>
      </c>
      <c r="P27" s="447" t="str">
        <f>IF(AND(O27&gt;4%,O27&lt;26%), "Valid input","Between 5% and 25% of the Operations Costs")</f>
        <v>Valid input</v>
      </c>
    </row>
    <row r="28" spans="1:16" ht="71.25" x14ac:dyDescent="0.25">
      <c r="A28" s="446" t="s">
        <v>33</v>
      </c>
      <c r="B28" s="447" t="s">
        <v>34</v>
      </c>
      <c r="C28" s="2">
        <v>0</v>
      </c>
      <c r="D28" s="2">
        <v>0</v>
      </c>
      <c r="E28" s="2">
        <v>0</v>
      </c>
      <c r="F28" s="2">
        <v>0</v>
      </c>
      <c r="G28" s="2">
        <v>0</v>
      </c>
      <c r="H28" s="3">
        <f t="shared" si="1"/>
        <v>0</v>
      </c>
      <c r="I28" s="3">
        <f t="shared" si="1"/>
        <v>0</v>
      </c>
      <c r="J28" s="3">
        <f t="shared" si="1"/>
        <v>0</v>
      </c>
      <c r="K28" s="3">
        <f t="shared" si="1"/>
        <v>0</v>
      </c>
      <c r="L28" s="3">
        <f t="shared" si="1"/>
        <v>0</v>
      </c>
      <c r="M28" s="1" t="s">
        <v>76</v>
      </c>
      <c r="N28" s="7"/>
      <c r="P28" s="447" t="s">
        <v>81</v>
      </c>
    </row>
    <row r="29" spans="1:16" ht="28.5" x14ac:dyDescent="0.25">
      <c r="A29" s="446" t="s">
        <v>35</v>
      </c>
      <c r="B29" s="447" t="s">
        <v>36</v>
      </c>
      <c r="C29" s="2">
        <v>0</v>
      </c>
      <c r="D29" s="2">
        <v>0</v>
      </c>
      <c r="E29" s="2">
        <v>0</v>
      </c>
      <c r="F29" s="2">
        <v>0</v>
      </c>
      <c r="G29" s="2">
        <v>0</v>
      </c>
      <c r="H29" s="3">
        <f t="shared" si="1"/>
        <v>0</v>
      </c>
      <c r="I29" s="3">
        <f t="shared" si="1"/>
        <v>0</v>
      </c>
      <c r="J29" s="3">
        <f t="shared" si="1"/>
        <v>0</v>
      </c>
      <c r="K29" s="3">
        <f t="shared" si="1"/>
        <v>0</v>
      </c>
      <c r="L29" s="3">
        <f t="shared" si="1"/>
        <v>0</v>
      </c>
      <c r="M29" s="1" t="s">
        <v>77</v>
      </c>
      <c r="N29" s="7"/>
      <c r="P29" s="447" t="s">
        <v>81</v>
      </c>
    </row>
    <row r="30" spans="1:16" ht="28.5" x14ac:dyDescent="0.25">
      <c r="A30" s="458" t="s">
        <v>0</v>
      </c>
      <c r="B30" s="447" t="s">
        <v>37</v>
      </c>
      <c r="C30" s="2">
        <v>385595</v>
      </c>
      <c r="D30" s="2">
        <v>280000</v>
      </c>
      <c r="E30" s="2">
        <v>50760</v>
      </c>
      <c r="F30" s="2">
        <v>325159</v>
      </c>
      <c r="G30" s="2">
        <v>922125</v>
      </c>
      <c r="H30" s="3">
        <f t="shared" si="1"/>
        <v>0.1726790908256326</v>
      </c>
      <c r="I30" s="3">
        <f t="shared" si="1"/>
        <v>0.15956688987035189</v>
      </c>
      <c r="J30" s="3">
        <f t="shared" si="1"/>
        <v>3.5599567980026087E-2</v>
      </c>
      <c r="K30" s="3">
        <f t="shared" si="1"/>
        <v>0.35705744056802569</v>
      </c>
      <c r="L30" s="3">
        <f t="shared" si="1"/>
        <v>0.30962400556844732</v>
      </c>
      <c r="M30" s="1" t="s">
        <v>80</v>
      </c>
      <c r="N30" s="12">
        <f>C30</f>
        <v>385595</v>
      </c>
      <c r="O30" s="3">
        <f>N30/N35</f>
        <v>0.18174204078785441</v>
      </c>
      <c r="P30" s="447" t="str">
        <f>IF(AND(O30&gt;14%,O30&lt;36%), "Valid input","Between 15% and 35% of the Operations Costs")</f>
        <v>Valid input</v>
      </c>
    </row>
    <row r="31" spans="1:16" ht="42.75" x14ac:dyDescent="0.25">
      <c r="A31" s="446" t="s">
        <v>38</v>
      </c>
      <c r="B31" s="447" t="s">
        <v>39</v>
      </c>
      <c r="C31" s="2">
        <v>0</v>
      </c>
      <c r="D31" s="2">
        <v>0</v>
      </c>
      <c r="E31" s="2">
        <v>0</v>
      </c>
      <c r="F31" s="2">
        <v>6632</v>
      </c>
      <c r="G31" s="2">
        <v>0</v>
      </c>
      <c r="H31" s="3">
        <f t="shared" si="1"/>
        <v>0</v>
      </c>
      <c r="I31" s="3">
        <f t="shared" si="1"/>
        <v>0</v>
      </c>
      <c r="J31" s="3">
        <f t="shared" si="1"/>
        <v>0</v>
      </c>
      <c r="K31" s="3">
        <f t="shared" si="1"/>
        <v>7.2826061891171599E-3</v>
      </c>
      <c r="L31" s="3">
        <f t="shared" si="1"/>
        <v>0</v>
      </c>
      <c r="M31" s="1" t="s">
        <v>82</v>
      </c>
      <c r="N31" s="7"/>
      <c r="P31" s="447" t="s">
        <v>81</v>
      </c>
    </row>
    <row r="32" spans="1:16" ht="28.5" x14ac:dyDescent="0.25">
      <c r="A32" s="458" t="s">
        <v>40</v>
      </c>
      <c r="B32" s="447" t="s">
        <v>41</v>
      </c>
      <c r="C32" s="2">
        <v>395300</v>
      </c>
      <c r="D32" s="2">
        <v>7000</v>
      </c>
      <c r="E32" s="2">
        <v>25000</v>
      </c>
      <c r="F32" s="2">
        <v>0</v>
      </c>
      <c r="G32" s="2">
        <v>659355</v>
      </c>
      <c r="H32" s="3">
        <f t="shared" si="1"/>
        <v>0.17702523270107903</v>
      </c>
      <c r="I32" s="3">
        <f t="shared" si="1"/>
        <v>3.9891722467587975E-3</v>
      </c>
      <c r="J32" s="3">
        <f t="shared" si="1"/>
        <v>1.7533278161951382E-2</v>
      </c>
      <c r="K32" s="3">
        <f t="shared" si="1"/>
        <v>0</v>
      </c>
      <c r="L32" s="3">
        <f t="shared" si="1"/>
        <v>0.22139312586860088</v>
      </c>
      <c r="M32" s="1" t="s">
        <v>78</v>
      </c>
      <c r="N32" s="12">
        <f>C32</f>
        <v>395300</v>
      </c>
      <c r="O32" s="3">
        <f>N32/N35</f>
        <v>0.18631628709770318</v>
      </c>
      <c r="P32" s="447" t="s">
        <v>81</v>
      </c>
    </row>
    <row r="33" spans="1:16" ht="28.5" x14ac:dyDescent="0.25">
      <c r="A33" s="446" t="s">
        <v>42</v>
      </c>
      <c r="B33" s="447" t="s">
        <v>43</v>
      </c>
      <c r="C33" s="2">
        <v>398945</v>
      </c>
      <c r="D33" s="2">
        <v>4250</v>
      </c>
      <c r="E33" s="2">
        <v>0</v>
      </c>
      <c r="F33" s="2">
        <v>0</v>
      </c>
      <c r="G33" s="2">
        <v>293685</v>
      </c>
      <c r="H33" s="3">
        <f>C33/C$35</f>
        <v>0.1786575549201416</v>
      </c>
      <c r="I33" s="3">
        <f t="shared" si="1"/>
        <v>2.4219974355321272E-3</v>
      </c>
      <c r="J33" s="3">
        <f t="shared" si="1"/>
        <v>0</v>
      </c>
      <c r="K33" s="3">
        <f t="shared" si="1"/>
        <v>0</v>
      </c>
      <c r="L33" s="3">
        <f t="shared" si="1"/>
        <v>9.8611279463597087E-2</v>
      </c>
      <c r="M33" s="1" t="s">
        <v>83</v>
      </c>
      <c r="N33" s="12">
        <f>C33</f>
        <v>398945</v>
      </c>
      <c r="O33" s="3">
        <f>N33/N35</f>
        <v>0.18803428068857372</v>
      </c>
      <c r="P33" s="447" t="str">
        <f>IF(O33&lt;20%, "Valid input","Less than 20% of Operations Costs")</f>
        <v>Valid input</v>
      </c>
    </row>
    <row r="34" spans="1:16" ht="42.75" x14ac:dyDescent="0.25">
      <c r="A34" s="446" t="s">
        <v>44</v>
      </c>
      <c r="B34" s="447" t="s">
        <v>45</v>
      </c>
      <c r="C34" s="2">
        <v>0</v>
      </c>
      <c r="D34" s="2">
        <v>0</v>
      </c>
      <c r="E34" s="2">
        <v>0</v>
      </c>
      <c r="F34" s="2">
        <v>0</v>
      </c>
      <c r="G34" s="2">
        <v>0</v>
      </c>
      <c r="H34" s="3">
        <f t="shared" si="1"/>
        <v>0</v>
      </c>
      <c r="I34" s="3">
        <f t="shared" si="1"/>
        <v>0</v>
      </c>
      <c r="J34" s="3">
        <f t="shared" si="1"/>
        <v>0</v>
      </c>
      <c r="K34" s="3">
        <f t="shared" si="1"/>
        <v>0</v>
      </c>
      <c r="L34" s="3">
        <f t="shared" si="1"/>
        <v>0</v>
      </c>
      <c r="M34" s="1" t="s">
        <v>79</v>
      </c>
      <c r="N34" s="7"/>
      <c r="P34" s="447" t="str">
        <f>IF(O34&lt;20%, "Valid input","Less than 20% of Operations Costs")</f>
        <v>Valid input</v>
      </c>
    </row>
    <row r="35" spans="1:16" x14ac:dyDescent="0.25">
      <c r="A35" s="451" t="s">
        <v>46</v>
      </c>
      <c r="B35" s="451"/>
      <c r="C35" s="5">
        <f>SUM(C21:C34)</f>
        <v>2233015</v>
      </c>
      <c r="D35" s="5">
        <f>SUM(D21:D34)</f>
        <v>1754750</v>
      </c>
      <c r="E35" s="5">
        <f>SUM(E21:E34)</f>
        <v>1425860</v>
      </c>
      <c r="F35" s="5">
        <f>SUM(F21:F34)</f>
        <v>910663</v>
      </c>
      <c r="G35" s="5">
        <f>SUM(G21:G34)</f>
        <v>2978209</v>
      </c>
      <c r="H35" s="451"/>
      <c r="I35" s="451"/>
      <c r="J35" s="451"/>
      <c r="K35" s="451"/>
      <c r="L35" s="451"/>
      <c r="M35" s="450"/>
      <c r="N35" s="452">
        <f>SUM(N21:N34)</f>
        <v>2121661</v>
      </c>
      <c r="O35" s="453">
        <f>SUM(O21:O34)</f>
        <v>1</v>
      </c>
      <c r="P35" s="10" t="str">
        <f>IF(O35=100%,"Correct","Adjust data values to equal 100")</f>
        <v>Correct</v>
      </c>
    </row>
    <row r="36" spans="1:16" x14ac:dyDescent="0.25">
      <c r="C36" s="8" t="e">
        <f>C35+C19+#REF!+C9</f>
        <v>#REF!</v>
      </c>
      <c r="D36" s="8" t="e">
        <f>D35+D19+#REF!+D9</f>
        <v>#REF!</v>
      </c>
      <c r="E36" s="8" t="e">
        <f>E35+E19+#REF!+E9</f>
        <v>#REF!</v>
      </c>
      <c r="F36" s="8" t="e">
        <f>F35+F19+#REF!+F9</f>
        <v>#REF!</v>
      </c>
      <c r="G36" s="8" t="e">
        <f>G35+G19+#REF!+G9</f>
        <v>#REF!</v>
      </c>
      <c r="M36" s="443" t="s">
        <v>49</v>
      </c>
      <c r="N36" s="5">
        <f>N35+N19+N9</f>
        <v>4718999</v>
      </c>
    </row>
    <row r="37" spans="1:16" x14ac:dyDescent="0.25">
      <c r="C37" s="459" t="e">
        <f>SUM(C9+#REF!+C19)</f>
        <v>#REF!</v>
      </c>
      <c r="D37" s="459" t="e">
        <f>SUM(D9+#REF!+D19)</f>
        <v>#REF!</v>
      </c>
      <c r="E37" s="459" t="e">
        <f>SUM(E9+#REF!+E19)</f>
        <v>#REF!</v>
      </c>
      <c r="F37" s="459" t="e">
        <f>SUM(F9+#REF!+F19)</f>
        <v>#REF!</v>
      </c>
      <c r="G37" s="459" t="e">
        <f>SUM(G9+#REF!+G19)</f>
        <v>#REF!</v>
      </c>
      <c r="M37" s="443" t="s">
        <v>47</v>
      </c>
      <c r="N37" s="452">
        <f>SUM(N9+N19)</f>
        <v>2597338</v>
      </c>
    </row>
    <row r="38" spans="1:16" x14ac:dyDescent="0.25">
      <c r="C38" s="459">
        <f>C35</f>
        <v>2233015</v>
      </c>
      <c r="D38" s="459">
        <f>D35</f>
        <v>1754750</v>
      </c>
      <c r="E38" s="459">
        <f>E35</f>
        <v>1425860</v>
      </c>
      <c r="F38" s="459">
        <f>F35</f>
        <v>910663</v>
      </c>
      <c r="G38" s="459">
        <f>G35</f>
        <v>2978209</v>
      </c>
      <c r="M38" s="443" t="s">
        <v>48</v>
      </c>
      <c r="N38" s="452">
        <f>N35</f>
        <v>2121661</v>
      </c>
    </row>
    <row r="39" spans="1:16" x14ac:dyDescent="0.25">
      <c r="B39" s="457"/>
      <c r="C39" s="460" t="e">
        <f>C37/C36</f>
        <v>#REF!</v>
      </c>
      <c r="D39" s="460" t="e">
        <f>D37/D36</f>
        <v>#REF!</v>
      </c>
      <c r="E39" s="460" t="e">
        <f>E37/E36</f>
        <v>#REF!</v>
      </c>
      <c r="F39" s="460" t="e">
        <f>F37/F36</f>
        <v>#REF!</v>
      </c>
      <c r="G39" s="460" t="e">
        <f>G37/G36</f>
        <v>#REF!</v>
      </c>
      <c r="H39" s="457"/>
      <c r="I39" s="457"/>
      <c r="J39" s="457"/>
      <c r="K39" s="457"/>
      <c r="L39" s="457"/>
      <c r="M39" s="461"/>
      <c r="N39" s="13" t="s">
        <v>89</v>
      </c>
      <c r="O39" s="454" t="s">
        <v>88</v>
      </c>
      <c r="P39" s="461"/>
    </row>
    <row r="40" spans="1:16" x14ac:dyDescent="0.25">
      <c r="B40" s="457"/>
      <c r="C40" s="460" t="e">
        <f>C38/C36</f>
        <v>#REF!</v>
      </c>
      <c r="D40" s="460" t="e">
        <f>D38/D36</f>
        <v>#REF!</v>
      </c>
      <c r="E40" s="460" t="e">
        <f>E38/E36</f>
        <v>#REF!</v>
      </c>
      <c r="F40" s="460" t="e">
        <f>F38/F36</f>
        <v>#REF!</v>
      </c>
      <c r="G40" s="460" t="e">
        <f>G38/G36</f>
        <v>#REF!</v>
      </c>
      <c r="H40" s="457"/>
      <c r="I40" s="457"/>
      <c r="J40" s="457"/>
      <c r="K40" s="457"/>
      <c r="L40" s="457"/>
      <c r="M40" s="461" t="str">
        <f>A5</f>
        <v>Phase I: Development</v>
      </c>
      <c r="N40" s="14">
        <f>N9</f>
        <v>608000</v>
      </c>
      <c r="O40" s="462">
        <f>C9</f>
        <v>751000</v>
      </c>
      <c r="P40" s="461"/>
    </row>
    <row r="41" spans="1:16" x14ac:dyDescent="0.25">
      <c r="B41" s="457"/>
      <c r="C41" s="457"/>
      <c r="D41" s="457"/>
      <c r="E41" s="457"/>
      <c r="F41" s="457"/>
      <c r="G41" s="457"/>
      <c r="H41" s="457"/>
      <c r="I41" s="457"/>
      <c r="J41" s="457"/>
      <c r="K41" s="457"/>
      <c r="L41" s="457"/>
      <c r="M41" s="461" t="str">
        <f>A10</f>
        <v xml:space="preserve">Phase II: Deployment </v>
      </c>
      <c r="N41" s="462">
        <f>N19</f>
        <v>1989338</v>
      </c>
      <c r="O41" s="462">
        <f>N19</f>
        <v>1989338</v>
      </c>
      <c r="P41" s="461"/>
    </row>
    <row r="42" spans="1:16" x14ac:dyDescent="0.25">
      <c r="B42" s="457"/>
      <c r="C42" s="460"/>
      <c r="D42" s="460"/>
      <c r="E42" s="457"/>
      <c r="F42" s="457"/>
      <c r="G42" s="457"/>
      <c r="H42" s="457"/>
      <c r="I42" s="457"/>
      <c r="J42" s="457"/>
      <c r="K42" s="457"/>
      <c r="L42" s="457"/>
      <c r="M42" s="461" t="str">
        <f>A20</f>
        <v xml:space="preserve">Phase III: Operations </v>
      </c>
      <c r="N42" s="462">
        <f>N35</f>
        <v>2121661</v>
      </c>
      <c r="O42" s="462">
        <f>C35</f>
        <v>2233015</v>
      </c>
      <c r="P42" s="461"/>
    </row>
    <row r="43" spans="1:16" x14ac:dyDescent="0.25">
      <c r="B43" s="457"/>
      <c r="C43" s="457"/>
      <c r="D43" s="457"/>
      <c r="E43" s="457"/>
      <c r="F43" s="457"/>
      <c r="G43" s="457"/>
      <c r="H43" s="457"/>
      <c r="I43" s="457"/>
      <c r="J43" s="457"/>
      <c r="K43" s="457"/>
      <c r="L43" s="457"/>
      <c r="M43" s="461" t="s">
        <v>499</v>
      </c>
      <c r="N43" s="13">
        <f>N40/SUM(N40:N42)</f>
        <v>0.12884088341616518</v>
      </c>
      <c r="O43" s="13">
        <f>O40/SUM(O40:O42)</f>
        <v>0.15100476479349043</v>
      </c>
      <c r="P43" s="461"/>
    </row>
    <row r="44" spans="1:16" x14ac:dyDescent="0.25">
      <c r="B44" s="457"/>
      <c r="C44" s="457"/>
      <c r="D44" s="457"/>
      <c r="E44" s="457"/>
      <c r="F44" s="457"/>
      <c r="G44" s="457"/>
      <c r="H44" s="457"/>
      <c r="I44" s="457"/>
      <c r="J44" s="457"/>
      <c r="K44" s="457"/>
      <c r="L44" s="457"/>
      <c r="M44" s="461" t="s">
        <v>500</v>
      </c>
      <c r="N44" s="13">
        <f>N41/(SUM(N40:N42))</f>
        <v>0.42155931798247892</v>
      </c>
      <c r="O44" s="13">
        <f>O41/(SUM(O40:O42))</f>
        <v>0.39999935657090901</v>
      </c>
      <c r="P44" s="461"/>
    </row>
    <row r="45" spans="1:16" x14ac:dyDescent="0.25">
      <c r="B45" s="457"/>
      <c r="C45" s="457"/>
      <c r="D45" s="457"/>
      <c r="E45" s="457"/>
      <c r="F45" s="457"/>
      <c r="G45" s="457"/>
      <c r="H45" s="457"/>
      <c r="I45" s="457"/>
      <c r="J45" s="457"/>
      <c r="K45" s="457"/>
      <c r="L45" s="457"/>
      <c r="M45" s="461" t="s">
        <v>501</v>
      </c>
      <c r="N45" s="13">
        <f>N42/(SUM(N40:N42))</f>
        <v>0.4495997986013559</v>
      </c>
      <c r="O45" s="13">
        <f>O42/(SUM(O40:O42))</f>
        <v>0.44899587863560059</v>
      </c>
      <c r="P45" s="461"/>
    </row>
    <row r="46" spans="1:16" x14ac:dyDescent="0.25">
      <c r="B46" s="457"/>
      <c r="C46" s="457"/>
      <c r="D46" s="457"/>
      <c r="E46" s="457"/>
      <c r="F46" s="457"/>
      <c r="G46" s="457"/>
      <c r="H46" s="457"/>
      <c r="I46" s="457"/>
      <c r="J46" s="457"/>
      <c r="K46" s="457"/>
      <c r="L46" s="457"/>
      <c r="M46" s="461"/>
      <c r="N46" s="454"/>
      <c r="O46" s="454"/>
      <c r="P46" s="461"/>
    </row>
    <row r="47" spans="1:16" x14ac:dyDescent="0.25">
      <c r="B47" s="457"/>
      <c r="C47" s="457"/>
      <c r="D47" s="457"/>
      <c r="E47" s="457"/>
      <c r="F47" s="457"/>
      <c r="G47" s="457"/>
      <c r="H47" s="457"/>
      <c r="I47" s="457"/>
      <c r="J47" s="457"/>
      <c r="K47" s="457"/>
      <c r="L47" s="457"/>
      <c r="M47" s="461"/>
      <c r="N47" s="13"/>
      <c r="O47" s="13"/>
      <c r="P47" s="461"/>
    </row>
    <row r="48" spans="1:16" x14ac:dyDescent="0.25">
      <c r="B48" s="457"/>
      <c r="C48" s="457"/>
      <c r="D48" s="457"/>
      <c r="E48" s="457"/>
      <c r="F48" s="457"/>
      <c r="G48" s="457"/>
      <c r="H48" s="457"/>
      <c r="I48" s="457"/>
      <c r="J48" s="457"/>
      <c r="K48" s="457"/>
      <c r="L48" s="457"/>
      <c r="M48" s="461"/>
      <c r="N48" s="13">
        <f>N42/SUM(N40:N42)</f>
        <v>0.4495997986013559</v>
      </c>
      <c r="O48" s="13">
        <f>O42/SUM(O40:O42)</f>
        <v>0.44899587863560059</v>
      </c>
      <c r="P48" s="461"/>
    </row>
    <row r="49" spans="2:16" x14ac:dyDescent="0.25">
      <c r="B49" s="457"/>
      <c r="C49" s="457"/>
      <c r="D49" s="457"/>
      <c r="E49" s="457"/>
      <c r="F49" s="457"/>
      <c r="G49" s="457"/>
      <c r="H49" s="457"/>
      <c r="I49" s="457"/>
      <c r="J49" s="457"/>
      <c r="K49" s="457"/>
      <c r="L49" s="457"/>
      <c r="M49" s="461"/>
      <c r="N49" s="454"/>
      <c r="O49" s="454"/>
      <c r="P49" s="461"/>
    </row>
    <row r="50" spans="2:16" x14ac:dyDescent="0.25">
      <c r="B50" s="457"/>
      <c r="C50" s="457"/>
      <c r="D50" s="457"/>
      <c r="E50" s="457"/>
      <c r="F50" s="457"/>
      <c r="G50" s="457"/>
      <c r="H50" s="457"/>
      <c r="I50" s="457"/>
      <c r="J50" s="457"/>
      <c r="K50" s="457"/>
      <c r="L50" s="457"/>
      <c r="M50" s="461"/>
      <c r="N50" s="454"/>
      <c r="O50" s="454"/>
      <c r="P50" s="461"/>
    </row>
    <row r="51" spans="2:16" x14ac:dyDescent="0.25">
      <c r="B51" s="457"/>
      <c r="C51" s="457"/>
      <c r="D51" s="457"/>
      <c r="E51" s="457"/>
      <c r="F51" s="457"/>
      <c r="G51" s="457"/>
      <c r="H51" s="457"/>
      <c r="I51" s="457"/>
      <c r="J51" s="457"/>
      <c r="K51" s="457"/>
      <c r="L51" s="457"/>
      <c r="M51" s="455"/>
      <c r="N51" s="457"/>
      <c r="O51" s="457"/>
      <c r="P51" s="455"/>
    </row>
  </sheetData>
  <mergeCells count="6">
    <mergeCell ref="A20:B20"/>
    <mergeCell ref="C4:G4"/>
    <mergeCell ref="H4:L4"/>
    <mergeCell ref="M4:P4"/>
    <mergeCell ref="A5:B5"/>
    <mergeCell ref="A10:B10"/>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pageSetUpPr fitToPage="1"/>
  </sheetPr>
  <dimension ref="A1:J44"/>
  <sheetViews>
    <sheetView zoomScale="90" zoomScaleNormal="90" workbookViewId="0">
      <pane ySplit="2" topLeftCell="A26" activePane="bottomLeft" state="frozen"/>
      <selection activeCell="K6" sqref="K6:K7"/>
      <selection pane="bottomLeft" activeCell="K6" sqref="K6:K7"/>
    </sheetView>
  </sheetViews>
  <sheetFormatPr defaultColWidth="8.7109375" defaultRowHeight="15" x14ac:dyDescent="0.25"/>
  <cols>
    <col min="1" max="1" width="15.28515625" customWidth="1"/>
    <col min="2" max="2" width="29.42578125" style="345" customWidth="1"/>
    <col min="3" max="3" width="52.7109375" style="288" customWidth="1"/>
    <col min="4" max="4" width="18.28515625" style="417" customWidth="1"/>
    <col min="5" max="8" width="15.7109375" style="417" customWidth="1"/>
    <col min="9" max="9" width="17.42578125" style="417" bestFit="1" customWidth="1"/>
    <col min="10" max="10" width="14.7109375" style="347" customWidth="1"/>
  </cols>
  <sheetData>
    <row r="1" spans="1:10" ht="33.75" x14ac:dyDescent="0.5">
      <c r="A1" s="344" t="s">
        <v>447</v>
      </c>
      <c r="D1" s="346"/>
      <c r="E1" s="346"/>
      <c r="F1" s="346"/>
      <c r="G1" s="346"/>
      <c r="H1" s="346"/>
      <c r="I1" s="346"/>
    </row>
    <row r="2" spans="1:10" s="347" customFormat="1" ht="35.65" customHeight="1" x14ac:dyDescent="0.25">
      <c r="A2" s="348" t="s">
        <v>448</v>
      </c>
      <c r="B2" s="349" t="s">
        <v>449</v>
      </c>
      <c r="C2" s="350" t="s">
        <v>51</v>
      </c>
      <c r="D2" s="351" t="s">
        <v>450</v>
      </c>
      <c r="E2" s="349" t="s">
        <v>109</v>
      </c>
      <c r="F2" s="349" t="s">
        <v>110</v>
      </c>
      <c r="G2" s="349" t="s">
        <v>111</v>
      </c>
      <c r="H2" s="349" t="s">
        <v>451</v>
      </c>
      <c r="I2" s="352" t="s">
        <v>452</v>
      </c>
      <c r="J2" s="353" t="s">
        <v>453</v>
      </c>
    </row>
    <row r="3" spans="1:10" s="359" customFormat="1" x14ac:dyDescent="0.25">
      <c r="A3" s="354"/>
      <c r="B3" s="355"/>
      <c r="C3" s="356"/>
      <c r="D3" s="357"/>
      <c r="E3" s="357"/>
      <c r="F3" s="357"/>
      <c r="G3" s="357"/>
      <c r="H3" s="357"/>
      <c r="I3" s="357"/>
      <c r="J3" s="358"/>
    </row>
    <row r="4" spans="1:10" x14ac:dyDescent="0.25">
      <c r="A4" s="360" t="s">
        <v>502</v>
      </c>
      <c r="B4" s="361"/>
      <c r="C4" s="362"/>
      <c r="D4" s="363"/>
      <c r="E4" s="363"/>
      <c r="F4" s="363"/>
      <c r="G4" s="363"/>
      <c r="H4" s="363"/>
      <c r="I4" s="363"/>
      <c r="J4" s="364"/>
    </row>
    <row r="5" spans="1:10" s="288" customFormat="1" ht="151.5" customHeight="1" x14ac:dyDescent="0.25">
      <c r="A5" s="362"/>
      <c r="B5" s="365" t="s">
        <v>0</v>
      </c>
      <c r="C5" s="366" t="s">
        <v>1</v>
      </c>
      <c r="D5" s="367">
        <v>153000</v>
      </c>
      <c r="E5" s="367">
        <v>0</v>
      </c>
      <c r="F5" s="367">
        <v>0</v>
      </c>
      <c r="G5" s="367">
        <v>0</v>
      </c>
      <c r="H5" s="367">
        <v>0</v>
      </c>
      <c r="I5" s="367">
        <f>SUM(D5:H5)</f>
        <v>153000</v>
      </c>
      <c r="J5" s="368"/>
    </row>
    <row r="6" spans="1:10" s="288" customFormat="1" ht="94.5" customHeight="1" x14ac:dyDescent="0.25">
      <c r="A6" s="369"/>
      <c r="B6" s="365" t="s">
        <v>2</v>
      </c>
      <c r="C6" s="366" t="s">
        <v>454</v>
      </c>
      <c r="D6" s="367">
        <v>16000</v>
      </c>
      <c r="E6" s="367">
        <v>0</v>
      </c>
      <c r="F6" s="367">
        <v>0</v>
      </c>
      <c r="G6" s="367">
        <v>0</v>
      </c>
      <c r="H6" s="367">
        <v>0</v>
      </c>
      <c r="I6" s="367">
        <f>SUM(D6:H6)</f>
        <v>16000</v>
      </c>
      <c r="J6" s="368"/>
    </row>
    <row r="7" spans="1:10" s="288" customFormat="1" ht="153.75" customHeight="1" x14ac:dyDescent="0.25">
      <c r="A7" s="369"/>
      <c r="B7" s="365" t="s">
        <v>3</v>
      </c>
      <c r="C7" s="366" t="s">
        <v>4</v>
      </c>
      <c r="D7" s="367">
        <v>582000</v>
      </c>
      <c r="E7" s="367">
        <v>0</v>
      </c>
      <c r="F7" s="367">
        <v>0</v>
      </c>
      <c r="G7" s="367">
        <v>0</v>
      </c>
      <c r="H7" s="367">
        <v>0</v>
      </c>
      <c r="I7" s="367">
        <f>SUM(D7:H7)</f>
        <v>582000</v>
      </c>
      <c r="J7" s="368"/>
    </row>
    <row r="8" spans="1:10" ht="22.5" customHeight="1" x14ac:dyDescent="0.25">
      <c r="A8" s="370"/>
      <c r="B8" s="371"/>
      <c r="C8" s="372" t="s">
        <v>455</v>
      </c>
      <c r="D8" s="373">
        <f>SUM(D5:D7)</f>
        <v>751000</v>
      </c>
      <c r="E8" s="373"/>
      <c r="F8" s="373"/>
      <c r="G8" s="373"/>
      <c r="H8" s="373"/>
      <c r="I8" s="373">
        <f>SUM(D8:H8)</f>
        <v>751000</v>
      </c>
      <c r="J8" s="374"/>
    </row>
    <row r="9" spans="1:10" ht="16.5" customHeight="1" x14ac:dyDescent="0.25">
      <c r="A9" s="360" t="s">
        <v>456</v>
      </c>
      <c r="B9" s="370"/>
      <c r="C9" s="362"/>
      <c r="D9" s="375"/>
      <c r="E9" s="375"/>
      <c r="F9" s="375"/>
      <c r="G9" s="375"/>
      <c r="H9" s="375"/>
      <c r="I9" s="375"/>
      <c r="J9" s="374"/>
    </row>
    <row r="10" spans="1:10" ht="79.150000000000006" customHeight="1" x14ac:dyDescent="0.25">
      <c r="A10" s="370"/>
      <c r="B10" s="365" t="s">
        <v>5</v>
      </c>
      <c r="C10" s="366" t="s">
        <v>6</v>
      </c>
      <c r="D10" s="376">
        <v>42590</v>
      </c>
      <c r="E10" s="367">
        <v>0</v>
      </c>
      <c r="F10" s="367">
        <v>0</v>
      </c>
      <c r="G10" s="367">
        <v>0</v>
      </c>
      <c r="H10" s="367">
        <v>0</v>
      </c>
      <c r="I10" s="376">
        <f>SUM(D10:H10)</f>
        <v>42590</v>
      </c>
      <c r="J10" s="374" t="s">
        <v>457</v>
      </c>
    </row>
    <row r="11" spans="1:10" ht="58.5" customHeight="1" x14ac:dyDescent="0.25">
      <c r="A11" s="370"/>
      <c r="B11" s="365" t="s">
        <v>7</v>
      </c>
      <c r="C11" s="366" t="s">
        <v>8</v>
      </c>
      <c r="D11" s="377">
        <v>143000</v>
      </c>
      <c r="E11" s="367">
        <v>0</v>
      </c>
      <c r="F11" s="367">
        <v>0</v>
      </c>
      <c r="G11" s="367">
        <v>0</v>
      </c>
      <c r="H11" s="367">
        <v>0</v>
      </c>
      <c r="I11" s="376">
        <f t="shared" ref="I11:I18" si="0">SUM(D11:H11)</f>
        <v>143000</v>
      </c>
      <c r="J11" s="374" t="s">
        <v>457</v>
      </c>
    </row>
    <row r="12" spans="1:10" ht="45" x14ac:dyDescent="0.25">
      <c r="A12" s="370"/>
      <c r="B12" s="365" t="s">
        <v>9</v>
      </c>
      <c r="C12" s="366" t="s">
        <v>10</v>
      </c>
      <c r="D12" s="378">
        <v>0</v>
      </c>
      <c r="E12" s="367">
        <v>0</v>
      </c>
      <c r="F12" s="367">
        <v>0</v>
      </c>
      <c r="G12" s="367">
        <v>0</v>
      </c>
      <c r="H12" s="367">
        <v>0</v>
      </c>
      <c r="I12" s="376">
        <f t="shared" si="0"/>
        <v>0</v>
      </c>
      <c r="J12" s="374"/>
    </row>
    <row r="13" spans="1:10" ht="90" x14ac:dyDescent="0.25">
      <c r="A13" s="370"/>
      <c r="B13" s="365" t="s">
        <v>11</v>
      </c>
      <c r="C13" s="366" t="s">
        <v>12</v>
      </c>
      <c r="D13" s="377">
        <v>56850</v>
      </c>
      <c r="E13" s="367">
        <v>0</v>
      </c>
      <c r="F13" s="367">
        <v>0</v>
      </c>
      <c r="G13" s="367">
        <v>0</v>
      </c>
      <c r="H13" s="367">
        <v>0</v>
      </c>
      <c r="I13" s="376">
        <f t="shared" si="0"/>
        <v>56850</v>
      </c>
      <c r="J13" s="374"/>
    </row>
    <row r="14" spans="1:10" ht="104.65" customHeight="1" x14ac:dyDescent="0.25">
      <c r="A14" s="370"/>
      <c r="B14" s="365" t="s">
        <v>13</v>
      </c>
      <c r="C14" s="366" t="s">
        <v>14</v>
      </c>
      <c r="D14" s="379">
        <v>981200</v>
      </c>
      <c r="E14" s="367">
        <v>0</v>
      </c>
      <c r="F14" s="367">
        <v>0</v>
      </c>
      <c r="G14" s="367">
        <v>0</v>
      </c>
      <c r="H14" s="367">
        <v>0</v>
      </c>
      <c r="I14" s="376">
        <f t="shared" si="0"/>
        <v>981200</v>
      </c>
      <c r="J14" s="374"/>
    </row>
    <row r="15" spans="1:10" ht="45" x14ac:dyDescent="0.25">
      <c r="A15" s="370"/>
      <c r="B15" s="365" t="s">
        <v>15</v>
      </c>
      <c r="C15" s="366" t="s">
        <v>16</v>
      </c>
      <c r="D15" s="380">
        <v>70638</v>
      </c>
      <c r="E15" s="367">
        <v>0</v>
      </c>
      <c r="F15" s="367">
        <v>0</v>
      </c>
      <c r="G15" s="367">
        <v>0</v>
      </c>
      <c r="H15" s="367">
        <v>0</v>
      </c>
      <c r="I15" s="376">
        <f t="shared" si="0"/>
        <v>70638</v>
      </c>
      <c r="J15" s="374"/>
    </row>
    <row r="16" spans="1:10" ht="20.25" customHeight="1" x14ac:dyDescent="0.25">
      <c r="A16" s="370"/>
      <c r="B16" s="371"/>
      <c r="C16" s="372" t="s">
        <v>458</v>
      </c>
      <c r="D16" s="381">
        <f>SUM(D10:D15)</f>
        <v>1294278</v>
      </c>
      <c r="E16" s="382"/>
      <c r="F16" s="382"/>
      <c r="G16" s="382"/>
      <c r="H16" s="382"/>
      <c r="I16" s="383">
        <f t="shared" si="0"/>
        <v>1294278</v>
      </c>
      <c r="J16" s="374"/>
    </row>
    <row r="17" spans="1:10" x14ac:dyDescent="0.25">
      <c r="A17" s="360" t="s">
        <v>459</v>
      </c>
      <c r="B17" s="361"/>
      <c r="C17" s="362"/>
      <c r="D17" s="384"/>
      <c r="E17" s="384"/>
      <c r="F17" s="384"/>
      <c r="G17" s="384"/>
      <c r="H17" s="384"/>
      <c r="I17" s="384"/>
      <c r="J17" s="374"/>
    </row>
    <row r="18" spans="1:10" ht="58.5" customHeight="1" x14ac:dyDescent="0.25">
      <c r="A18" s="360"/>
      <c r="B18" s="365" t="s">
        <v>17</v>
      </c>
      <c r="C18" s="366" t="s">
        <v>18</v>
      </c>
      <c r="D18" s="377">
        <v>499300</v>
      </c>
      <c r="E18" s="385">
        <v>0</v>
      </c>
      <c r="F18" s="385">
        <v>0</v>
      </c>
      <c r="G18" s="385">
        <v>0</v>
      </c>
      <c r="H18" s="386">
        <v>0</v>
      </c>
      <c r="I18" s="387">
        <f t="shared" si="0"/>
        <v>499300</v>
      </c>
      <c r="J18" s="374"/>
    </row>
    <row r="19" spans="1:10" ht="22.15" customHeight="1" thickBot="1" x14ac:dyDescent="0.3">
      <c r="A19" s="360"/>
      <c r="B19" s="371"/>
      <c r="C19" s="372" t="s">
        <v>460</v>
      </c>
      <c r="D19" s="388">
        <f>SUM(D18)</f>
        <v>499300</v>
      </c>
      <c r="E19" s="389"/>
      <c r="F19" s="389"/>
      <c r="G19" s="389"/>
      <c r="H19" s="389"/>
      <c r="I19" s="390">
        <f>SUM(I18)</f>
        <v>499300</v>
      </c>
      <c r="J19" s="374"/>
    </row>
    <row r="20" spans="1:10" ht="15.75" thickBot="1" x14ac:dyDescent="0.3">
      <c r="A20" s="360"/>
      <c r="B20" s="371"/>
      <c r="C20" s="391" t="s">
        <v>461</v>
      </c>
      <c r="D20" s="392">
        <f>SUM(D19,D16,D8)</f>
        <v>2544578</v>
      </c>
      <c r="E20" s="392"/>
      <c r="F20" s="392"/>
      <c r="G20" s="392"/>
      <c r="H20" s="392"/>
      <c r="I20" s="392">
        <f>SUM(I19,I16,I8)</f>
        <v>2544578</v>
      </c>
      <c r="J20" s="374"/>
    </row>
    <row r="21" spans="1:10" x14ac:dyDescent="0.25">
      <c r="A21" s="360" t="s">
        <v>524</v>
      </c>
      <c r="B21" s="360"/>
      <c r="C21" s="393"/>
      <c r="D21" s="393"/>
      <c r="E21" s="393"/>
      <c r="F21" s="393"/>
      <c r="G21" s="393"/>
      <c r="H21" s="393"/>
      <c r="I21" s="393"/>
      <c r="J21" s="374"/>
    </row>
    <row r="22" spans="1:10" ht="45" x14ac:dyDescent="0.25">
      <c r="A22" s="360"/>
      <c r="B22" s="365" t="s">
        <v>19</v>
      </c>
      <c r="C22" s="366" t="s">
        <v>20</v>
      </c>
      <c r="D22" s="379"/>
      <c r="E22" s="379">
        <v>8518</v>
      </c>
      <c r="F22" s="379">
        <v>8518</v>
      </c>
      <c r="G22" s="379">
        <v>8518</v>
      </c>
      <c r="H22" s="379">
        <v>8518</v>
      </c>
      <c r="I22" s="376">
        <f>SUM(D22:H22)</f>
        <v>34072</v>
      </c>
      <c r="J22" s="374" t="s">
        <v>457</v>
      </c>
    </row>
    <row r="23" spans="1:10" ht="45" x14ac:dyDescent="0.25">
      <c r="A23" s="360"/>
      <c r="B23" s="365" t="s">
        <v>21</v>
      </c>
      <c r="C23" s="366" t="s">
        <v>22</v>
      </c>
      <c r="D23" s="378"/>
      <c r="E23" s="378">
        <v>28600</v>
      </c>
      <c r="F23" s="378">
        <v>28600</v>
      </c>
      <c r="G23" s="378">
        <v>28600</v>
      </c>
      <c r="H23" s="378">
        <v>28600</v>
      </c>
      <c r="I23" s="394">
        <f t="shared" ref="I23:I35" si="1">SUM(D23:H23)</f>
        <v>114400</v>
      </c>
      <c r="J23" s="374" t="s">
        <v>457</v>
      </c>
    </row>
    <row r="24" spans="1:10" ht="60" customHeight="1" x14ac:dyDescent="0.25">
      <c r="A24" s="370"/>
      <c r="B24" s="365" t="s">
        <v>23</v>
      </c>
      <c r="C24" s="366" t="s">
        <v>24</v>
      </c>
      <c r="D24" s="367"/>
      <c r="E24" s="367">
        <v>0</v>
      </c>
      <c r="F24" s="367">
        <v>0</v>
      </c>
      <c r="G24" s="367">
        <v>0</v>
      </c>
      <c r="H24" s="367">
        <v>0</v>
      </c>
      <c r="I24" s="395">
        <f>SUM(D24:H24)</f>
        <v>0</v>
      </c>
      <c r="J24" s="374"/>
    </row>
    <row r="25" spans="1:10" x14ac:dyDescent="0.25">
      <c r="A25" s="370"/>
      <c r="B25" s="365" t="s">
        <v>25</v>
      </c>
      <c r="C25" s="366" t="s">
        <v>26</v>
      </c>
      <c r="D25" s="367"/>
      <c r="E25" s="367">
        <v>0</v>
      </c>
      <c r="F25" s="367">
        <v>0</v>
      </c>
      <c r="G25" s="367">
        <v>0</v>
      </c>
      <c r="H25" s="367">
        <v>0</v>
      </c>
      <c r="I25" s="395">
        <f t="shared" si="1"/>
        <v>0</v>
      </c>
      <c r="J25" s="374" t="s">
        <v>457</v>
      </c>
    </row>
    <row r="26" spans="1:10" ht="126" customHeight="1" x14ac:dyDescent="0.25">
      <c r="A26" s="370"/>
      <c r="B26" s="365" t="s">
        <v>27</v>
      </c>
      <c r="C26" s="366" t="s">
        <v>28</v>
      </c>
      <c r="D26" s="377"/>
      <c r="E26" s="377">
        <v>100827</v>
      </c>
      <c r="F26" s="377">
        <v>100827</v>
      </c>
      <c r="G26" s="377">
        <v>100827</v>
      </c>
      <c r="H26" s="377">
        <v>100827</v>
      </c>
      <c r="I26" s="396">
        <f t="shared" si="1"/>
        <v>403308</v>
      </c>
      <c r="J26" s="374"/>
    </row>
    <row r="27" spans="1:10" ht="60" x14ac:dyDescent="0.25">
      <c r="A27" s="370"/>
      <c r="B27" s="365" t="s">
        <v>29</v>
      </c>
      <c r="C27" s="366" t="s">
        <v>30</v>
      </c>
      <c r="D27" s="378">
        <v>72834</v>
      </c>
      <c r="E27" s="378">
        <v>72834</v>
      </c>
      <c r="F27" s="378">
        <v>72834</v>
      </c>
      <c r="G27" s="378">
        <v>72834</v>
      </c>
      <c r="H27" s="378">
        <v>72834</v>
      </c>
      <c r="I27" s="394">
        <f t="shared" si="1"/>
        <v>364170</v>
      </c>
      <c r="J27" s="374"/>
    </row>
    <row r="28" spans="1:10" ht="47.25" customHeight="1" x14ac:dyDescent="0.25">
      <c r="A28" s="370"/>
      <c r="B28" s="365" t="s">
        <v>31</v>
      </c>
      <c r="C28" s="366" t="s">
        <v>32</v>
      </c>
      <c r="D28" s="397">
        <v>27445</v>
      </c>
      <c r="E28" s="397">
        <v>27445</v>
      </c>
      <c r="F28" s="397">
        <v>27445</v>
      </c>
      <c r="G28" s="397">
        <v>27445</v>
      </c>
      <c r="H28" s="397">
        <v>27445</v>
      </c>
      <c r="I28" s="397">
        <f t="shared" si="1"/>
        <v>137225</v>
      </c>
      <c r="J28" s="374"/>
    </row>
    <row r="29" spans="1:10" ht="120" x14ac:dyDescent="0.25">
      <c r="A29" s="370"/>
      <c r="B29" s="365" t="s">
        <v>33</v>
      </c>
      <c r="C29" s="366" t="s">
        <v>34</v>
      </c>
      <c r="D29" s="398">
        <v>0</v>
      </c>
      <c r="E29" s="398">
        <v>0</v>
      </c>
      <c r="F29" s="398">
        <v>0</v>
      </c>
      <c r="G29" s="398">
        <v>0</v>
      </c>
      <c r="H29" s="398">
        <v>0</v>
      </c>
      <c r="I29" s="399">
        <f t="shared" si="1"/>
        <v>0</v>
      </c>
      <c r="J29" s="374"/>
    </row>
    <row r="30" spans="1:10" ht="30" x14ac:dyDescent="0.25">
      <c r="A30" s="370"/>
      <c r="B30" s="365" t="s">
        <v>35</v>
      </c>
      <c r="C30" s="366" t="s">
        <v>36</v>
      </c>
      <c r="D30" s="400">
        <v>0</v>
      </c>
      <c r="E30" s="400">
        <v>0</v>
      </c>
      <c r="F30" s="400">
        <v>0</v>
      </c>
      <c r="G30" s="400">
        <v>0</v>
      </c>
      <c r="H30" s="400">
        <v>0</v>
      </c>
      <c r="I30" s="401">
        <f t="shared" si="1"/>
        <v>0</v>
      </c>
      <c r="J30" s="374"/>
    </row>
    <row r="31" spans="1:10" ht="30" x14ac:dyDescent="0.25">
      <c r="A31" s="362"/>
      <c r="B31" s="402" t="s">
        <v>0</v>
      </c>
      <c r="C31" s="366" t="s">
        <v>37</v>
      </c>
      <c r="D31" s="367">
        <v>77119</v>
      </c>
      <c r="E31" s="367">
        <v>77119</v>
      </c>
      <c r="F31" s="367">
        <v>77119</v>
      </c>
      <c r="G31" s="367">
        <v>77119</v>
      </c>
      <c r="H31" s="367">
        <v>77119</v>
      </c>
      <c r="I31" s="395">
        <f t="shared" si="1"/>
        <v>385595</v>
      </c>
      <c r="J31" s="374"/>
    </row>
    <row r="32" spans="1:10" ht="49.15" customHeight="1" x14ac:dyDescent="0.25">
      <c r="A32" s="362"/>
      <c r="B32" s="403" t="s">
        <v>38</v>
      </c>
      <c r="C32" s="366" t="s">
        <v>39</v>
      </c>
      <c r="D32" s="367">
        <v>0</v>
      </c>
      <c r="E32" s="367">
        <v>0</v>
      </c>
      <c r="F32" s="367">
        <v>0</v>
      </c>
      <c r="G32" s="367">
        <v>0</v>
      </c>
      <c r="H32" s="367">
        <v>0</v>
      </c>
      <c r="I32" s="395">
        <f t="shared" si="1"/>
        <v>0</v>
      </c>
      <c r="J32" s="374"/>
    </row>
    <row r="33" spans="1:10" ht="60" x14ac:dyDescent="0.25">
      <c r="A33" s="362"/>
      <c r="B33" s="402" t="s">
        <v>40</v>
      </c>
      <c r="C33" s="366" t="s">
        <v>41</v>
      </c>
      <c r="D33" s="367">
        <v>79060</v>
      </c>
      <c r="E33" s="367">
        <v>79060</v>
      </c>
      <c r="F33" s="367">
        <v>79060</v>
      </c>
      <c r="G33" s="367">
        <v>79060</v>
      </c>
      <c r="H33" s="367">
        <v>79060</v>
      </c>
      <c r="I33" s="395">
        <f t="shared" si="1"/>
        <v>395300</v>
      </c>
      <c r="J33" s="374"/>
    </row>
    <row r="34" spans="1:10" ht="60" x14ac:dyDescent="0.25">
      <c r="A34" s="362"/>
      <c r="B34" s="365" t="s">
        <v>42</v>
      </c>
      <c r="C34" s="366" t="s">
        <v>43</v>
      </c>
      <c r="D34" s="367">
        <v>79789</v>
      </c>
      <c r="E34" s="367">
        <v>79789</v>
      </c>
      <c r="F34" s="367">
        <v>79789</v>
      </c>
      <c r="G34" s="367">
        <v>79789</v>
      </c>
      <c r="H34" s="367">
        <v>79789</v>
      </c>
      <c r="I34" s="395">
        <f t="shared" si="1"/>
        <v>398945</v>
      </c>
      <c r="J34" s="374"/>
    </row>
    <row r="35" spans="1:10" ht="60.75" thickBot="1" x14ac:dyDescent="0.3">
      <c r="A35" s="362"/>
      <c r="B35" s="365" t="s">
        <v>44</v>
      </c>
      <c r="C35" s="404" t="s">
        <v>45</v>
      </c>
      <c r="D35" s="385">
        <v>0</v>
      </c>
      <c r="E35" s="385">
        <v>0</v>
      </c>
      <c r="F35" s="385">
        <v>0</v>
      </c>
      <c r="G35" s="385">
        <v>0</v>
      </c>
      <c r="H35" s="385">
        <v>0</v>
      </c>
      <c r="I35" s="405">
        <f t="shared" si="1"/>
        <v>0</v>
      </c>
      <c r="J35" s="374" t="s">
        <v>457</v>
      </c>
    </row>
    <row r="36" spans="1:10" ht="15.75" thickBot="1" x14ac:dyDescent="0.3">
      <c r="A36" s="362"/>
      <c r="B36" s="406"/>
      <c r="C36" s="407" t="s">
        <v>462</v>
      </c>
      <c r="D36" s="392">
        <f t="shared" ref="D36:I36" si="2">SUM(D22:D35)</f>
        <v>336247</v>
      </c>
      <c r="E36" s="392">
        <f t="shared" si="2"/>
        <v>474192</v>
      </c>
      <c r="F36" s="392">
        <f t="shared" si="2"/>
        <v>474192</v>
      </c>
      <c r="G36" s="392">
        <f t="shared" si="2"/>
        <v>474192</v>
      </c>
      <c r="H36" s="392">
        <f t="shared" si="2"/>
        <v>474192</v>
      </c>
      <c r="I36" s="408">
        <f t="shared" si="2"/>
        <v>2233015</v>
      </c>
      <c r="J36" s="368"/>
    </row>
    <row r="37" spans="1:10" x14ac:dyDescent="0.25">
      <c r="A37" s="362"/>
      <c r="B37" s="406"/>
      <c r="C37" s="409" t="s">
        <v>461</v>
      </c>
      <c r="D37" s="388">
        <f>D20</f>
        <v>2544578</v>
      </c>
      <c r="E37" s="388">
        <v>0</v>
      </c>
      <c r="F37" s="388">
        <v>0</v>
      </c>
      <c r="G37" s="388">
        <v>0</v>
      </c>
      <c r="H37" s="388">
        <v>0</v>
      </c>
      <c r="I37" s="388">
        <f>I20</f>
        <v>2544578</v>
      </c>
      <c r="J37" s="368"/>
    </row>
    <row r="38" spans="1:10" ht="15.75" x14ac:dyDescent="0.25">
      <c r="A38" s="362"/>
      <c r="B38" s="362"/>
      <c r="C38" s="410" t="s">
        <v>452</v>
      </c>
      <c r="D38" s="411"/>
      <c r="E38" s="412"/>
      <c r="F38" s="412"/>
      <c r="G38" s="412"/>
      <c r="H38" s="412"/>
      <c r="I38" s="413">
        <f>SUM(I36:I37)</f>
        <v>4777593</v>
      </c>
      <c r="J38" s="414"/>
    </row>
    <row r="39" spans="1:10" x14ac:dyDescent="0.25">
      <c r="B39" s="415"/>
      <c r="D39" s="416"/>
      <c r="E39" s="416"/>
      <c r="F39" s="416"/>
      <c r="G39" s="416"/>
      <c r="H39" s="416"/>
      <c r="I39" s="416"/>
    </row>
    <row r="40" spans="1:10" x14ac:dyDescent="0.25">
      <c r="C40" s="418" t="s">
        <v>448</v>
      </c>
      <c r="D40" s="419" t="s">
        <v>464</v>
      </c>
      <c r="E40" s="419" t="s">
        <v>463</v>
      </c>
    </row>
    <row r="41" spans="1:10" x14ac:dyDescent="0.25">
      <c r="C41" s="420" t="str">
        <f>A4</f>
        <v>I. Development Phase</v>
      </c>
      <c r="D41" s="421">
        <f>I8</f>
        <v>751000</v>
      </c>
      <c r="E41" s="423">
        <f>D41/D44</f>
        <v>0.15719212582570344</v>
      </c>
    </row>
    <row r="42" spans="1:10" x14ac:dyDescent="0.25">
      <c r="C42" s="420" t="str">
        <f>A9</f>
        <v>II. Deployment Phase</v>
      </c>
      <c r="D42" s="421">
        <f>SUM(I16,I19)</f>
        <v>1793578</v>
      </c>
      <c r="E42" s="423">
        <f>D42/D44</f>
        <v>0.37541456545168245</v>
      </c>
    </row>
    <row r="43" spans="1:10" x14ac:dyDescent="0.25">
      <c r="C43" s="420" t="str">
        <f>A21</f>
        <v>III. Operational Phase</v>
      </c>
      <c r="D43" s="421">
        <f>I36</f>
        <v>2233015</v>
      </c>
      <c r="E43" s="423">
        <f>D43/D44</f>
        <v>0.46739330872261409</v>
      </c>
    </row>
    <row r="44" spans="1:10" x14ac:dyDescent="0.25">
      <c r="C44" s="418" t="s">
        <v>221</v>
      </c>
      <c r="D44" s="422">
        <f>I38</f>
        <v>4777593</v>
      </c>
      <c r="E44" s="424">
        <f>SUM(E41:E43)</f>
        <v>1</v>
      </c>
    </row>
  </sheetData>
  <pageMargins left="0.7" right="0.7" top="0.75" bottom="0.75" header="0.3" footer="0.3"/>
  <pageSetup scale="42" fitToHeight="0"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Q96"/>
  <sheetViews>
    <sheetView topLeftCell="A7" workbookViewId="0">
      <selection activeCell="C86" sqref="C86"/>
    </sheetView>
  </sheetViews>
  <sheetFormatPr defaultColWidth="9.28515625" defaultRowHeight="15" outlineLevelCol="1" x14ac:dyDescent="0.25"/>
  <cols>
    <col min="1" max="1" width="1" style="15" customWidth="1"/>
    <col min="2" max="2" width="1.42578125" style="15" customWidth="1"/>
    <col min="3" max="3" width="66.7109375" style="15" customWidth="1"/>
    <col min="4" max="4" width="65.42578125" style="15" hidden="1" customWidth="1" outlineLevel="1"/>
    <col min="5" max="5" width="16.28515625" style="15" customWidth="1" collapsed="1"/>
    <col min="6" max="6" width="16" style="15" customWidth="1"/>
    <col min="7" max="7" width="12.7109375" style="15" customWidth="1"/>
    <col min="8" max="8" width="11.28515625" style="15" bestFit="1" customWidth="1"/>
    <col min="9" max="9" width="11.42578125" style="15" customWidth="1"/>
    <col min="10" max="10" width="3.42578125" style="15" customWidth="1"/>
    <col min="11" max="11" width="11.28515625" style="15" customWidth="1"/>
    <col min="12" max="12" width="15.28515625" style="15" customWidth="1"/>
    <col min="13" max="13" width="16.28515625" style="15" customWidth="1"/>
    <col min="14" max="16384" width="9.28515625" style="15"/>
  </cols>
  <sheetData>
    <row r="1" spans="1:17" ht="16.149999999999999" hidden="1" customHeight="1" x14ac:dyDescent="0.25">
      <c r="C1" s="16" t="s">
        <v>98</v>
      </c>
      <c r="E1" s="16" t="s">
        <v>99</v>
      </c>
      <c r="F1" s="16"/>
      <c r="G1" s="16"/>
      <c r="H1" s="16"/>
      <c r="I1" s="16"/>
    </row>
    <row r="2" spans="1:17" ht="16.899999999999999" hidden="1" customHeight="1" x14ac:dyDescent="0.25">
      <c r="E2" s="16" t="s">
        <v>100</v>
      </c>
      <c r="F2" s="16"/>
      <c r="G2" s="16"/>
      <c r="H2" s="16"/>
      <c r="I2" s="16"/>
    </row>
    <row r="3" spans="1:17" ht="12" hidden="1" customHeight="1" x14ac:dyDescent="0.25">
      <c r="E3" s="16" t="s">
        <v>101</v>
      </c>
      <c r="F3" s="16"/>
      <c r="G3" s="16"/>
      <c r="H3" s="16"/>
      <c r="I3" s="16"/>
    </row>
    <row r="4" spans="1:17" ht="9" hidden="1" customHeight="1" x14ac:dyDescent="0.25">
      <c r="E4" s="16" t="s">
        <v>102</v>
      </c>
      <c r="F4" s="16"/>
      <c r="G4" s="16"/>
      <c r="H4" s="16"/>
      <c r="I4" s="16"/>
    </row>
    <row r="5" spans="1:17" ht="7.15" hidden="1" customHeight="1" x14ac:dyDescent="0.25">
      <c r="E5" s="16" t="s">
        <v>103</v>
      </c>
      <c r="F5" s="16"/>
      <c r="G5" s="16"/>
      <c r="H5" s="16"/>
      <c r="I5" s="16"/>
    </row>
    <row r="6" spans="1:17" ht="15.75" hidden="1" thickBot="1" x14ac:dyDescent="0.3"/>
    <row r="7" spans="1:17" s="20" customFormat="1" x14ac:dyDescent="0.25">
      <c r="A7" s="17"/>
      <c r="B7" s="18"/>
      <c r="C7" s="18"/>
      <c r="D7" s="18"/>
      <c r="E7" s="18"/>
      <c r="F7" s="19"/>
      <c r="G7" s="19"/>
      <c r="H7" s="18"/>
      <c r="I7" s="18"/>
    </row>
    <row r="8" spans="1:17" s="20" customFormat="1" ht="30" customHeight="1" x14ac:dyDescent="0.25">
      <c r="A8" s="21"/>
      <c r="D8" s="22" t="s">
        <v>104</v>
      </c>
      <c r="F8" s="23"/>
      <c r="G8" s="23"/>
    </row>
    <row r="9" spans="1:17" s="20" customFormat="1" ht="15.75" thickBot="1" x14ac:dyDescent="0.3">
      <c r="A9" s="24"/>
      <c r="B9" s="25"/>
      <c r="C9" s="25"/>
      <c r="D9" s="25"/>
      <c r="E9" s="26"/>
      <c r="F9" s="26"/>
      <c r="G9" s="27"/>
      <c r="H9" s="27"/>
      <c r="I9" s="25"/>
      <c r="J9" s="25"/>
      <c r="K9" s="25"/>
      <c r="L9" s="28" t="s">
        <v>105</v>
      </c>
      <c r="M9" s="29"/>
      <c r="N9" s="29"/>
    </row>
    <row r="10" spans="1:17" ht="16.5" thickBot="1" x14ac:dyDescent="0.3">
      <c r="A10" s="30"/>
      <c r="B10" s="31"/>
      <c r="C10" s="32" t="s">
        <v>106</v>
      </c>
      <c r="D10" s="32" t="s">
        <v>107</v>
      </c>
      <c r="E10" s="33" t="s">
        <v>108</v>
      </c>
      <c r="F10" s="33" t="s">
        <v>109</v>
      </c>
      <c r="G10" s="33" t="s">
        <v>110</v>
      </c>
      <c r="H10" s="33" t="s">
        <v>111</v>
      </c>
      <c r="I10" s="34" t="s">
        <v>112</v>
      </c>
      <c r="J10" s="35"/>
      <c r="K10" s="35"/>
      <c r="L10" s="36"/>
      <c r="M10" s="37" t="s">
        <v>113</v>
      </c>
      <c r="N10" s="38"/>
    </row>
    <row r="11" spans="1:17" s="47" customFormat="1" ht="15" customHeight="1" thickBot="1" x14ac:dyDescent="0.3">
      <c r="A11" s="39"/>
      <c r="B11" s="40"/>
      <c r="C11" s="41" t="s">
        <v>114</v>
      </c>
      <c r="D11" s="41" t="s">
        <v>115</v>
      </c>
      <c r="E11" s="42">
        <v>100</v>
      </c>
      <c r="F11" s="42">
        <v>200</v>
      </c>
      <c r="G11" s="42">
        <v>500</v>
      </c>
      <c r="H11" s="42">
        <v>1000</v>
      </c>
      <c r="I11" s="42">
        <v>2500</v>
      </c>
      <c r="J11" s="43"/>
      <c r="K11" s="43"/>
      <c r="L11" s="44"/>
      <c r="M11" s="45" t="s">
        <v>116</v>
      </c>
      <c r="N11" s="46"/>
    </row>
    <row r="12" spans="1:17" s="47" customFormat="1" ht="15" customHeight="1" thickBot="1" x14ac:dyDescent="0.3">
      <c r="A12" s="39"/>
      <c r="B12" s="40"/>
      <c r="C12" s="41" t="s">
        <v>117</v>
      </c>
      <c r="D12" s="48" t="s">
        <v>118</v>
      </c>
      <c r="E12" s="42">
        <v>2000</v>
      </c>
      <c r="F12" s="42">
        <v>2000</v>
      </c>
      <c r="G12" s="42">
        <v>2000</v>
      </c>
      <c r="H12" s="42">
        <v>2000</v>
      </c>
      <c r="I12" s="42">
        <v>2000</v>
      </c>
      <c r="J12" s="43"/>
      <c r="K12" s="43"/>
      <c r="L12" s="49"/>
      <c r="M12" s="50" t="s">
        <v>119</v>
      </c>
      <c r="N12" s="51"/>
    </row>
    <row r="13" spans="1:17" s="47" customFormat="1" ht="15" customHeight="1" thickBot="1" x14ac:dyDescent="0.3">
      <c r="A13" s="39"/>
      <c r="B13" s="40"/>
      <c r="C13" s="52" t="s">
        <v>120</v>
      </c>
      <c r="D13" s="53" t="s">
        <v>121</v>
      </c>
      <c r="E13" s="54" t="s">
        <v>100</v>
      </c>
      <c r="F13" s="54" t="s">
        <v>101</v>
      </c>
      <c r="G13" s="54" t="s">
        <v>101</v>
      </c>
      <c r="H13" s="54" t="s">
        <v>102</v>
      </c>
      <c r="I13" s="54" t="s">
        <v>103</v>
      </c>
      <c r="J13" s="43"/>
      <c r="K13" s="43"/>
      <c r="L13" s="55"/>
      <c r="M13" s="55"/>
    </row>
    <row r="14" spans="1:17" s="20" customFormat="1" ht="15.75" thickBot="1" x14ac:dyDescent="0.3">
      <c r="A14" s="24"/>
      <c r="E14" s="56"/>
      <c r="F14" s="57"/>
      <c r="G14" s="57"/>
      <c r="H14" s="57"/>
      <c r="I14" s="57"/>
      <c r="J14" s="56"/>
      <c r="K14" s="56"/>
    </row>
    <row r="15" spans="1:17" ht="15.75" customHeight="1" thickBot="1" x14ac:dyDescent="0.3">
      <c r="A15" s="30"/>
      <c r="C15" s="58" t="s">
        <v>122</v>
      </c>
      <c r="D15" s="58" t="s">
        <v>123</v>
      </c>
      <c r="E15" s="59" t="s">
        <v>124</v>
      </c>
      <c r="F15" s="60" t="s">
        <v>125</v>
      </c>
      <c r="G15" s="57"/>
      <c r="H15" s="35"/>
      <c r="I15" s="35"/>
      <c r="J15" s="35"/>
      <c r="K15" s="35"/>
      <c r="L15" s="1013" t="s">
        <v>126</v>
      </c>
      <c r="M15" s="1013"/>
      <c r="N15" s="1013"/>
      <c r="Q15" s="61"/>
    </row>
    <row r="16" spans="1:17" s="47" customFormat="1" ht="15" customHeight="1" thickBot="1" x14ac:dyDescent="0.3">
      <c r="A16" s="39"/>
      <c r="C16" s="62" t="s">
        <v>127</v>
      </c>
      <c r="D16" s="62" t="s">
        <v>128</v>
      </c>
      <c r="E16" s="63">
        <v>1</v>
      </c>
      <c r="F16" s="63">
        <v>500</v>
      </c>
      <c r="G16" s="57"/>
      <c r="H16" s="43"/>
      <c r="I16" s="64"/>
      <c r="J16" s="65"/>
      <c r="K16" s="43"/>
      <c r="L16" s="1013"/>
      <c r="M16" s="1013"/>
      <c r="N16" s="1013"/>
    </row>
    <row r="17" spans="1:14" s="47" customFormat="1" ht="15" customHeight="1" thickBot="1" x14ac:dyDescent="0.3">
      <c r="A17" s="39"/>
      <c r="C17" s="66" t="s">
        <v>129</v>
      </c>
      <c r="D17" s="66" t="s">
        <v>130</v>
      </c>
      <c r="E17" s="63">
        <v>2</v>
      </c>
      <c r="F17" s="63">
        <v>500</v>
      </c>
      <c r="G17" s="57"/>
      <c r="H17" s="57"/>
      <c r="I17" s="57"/>
      <c r="J17" s="65"/>
      <c r="K17" s="43"/>
      <c r="L17" s="1013"/>
      <c r="M17" s="1013"/>
      <c r="N17" s="1013"/>
    </row>
    <row r="18" spans="1:14" s="47" customFormat="1" ht="15" customHeight="1" thickBot="1" x14ac:dyDescent="0.3">
      <c r="A18" s="39"/>
      <c r="C18" s="67" t="s">
        <v>131</v>
      </c>
      <c r="D18" s="66" t="s">
        <v>132</v>
      </c>
      <c r="E18" s="63">
        <v>0</v>
      </c>
      <c r="F18" s="63">
        <v>0</v>
      </c>
      <c r="G18" s="57"/>
      <c r="H18" s="57"/>
      <c r="I18" s="57"/>
      <c r="J18" s="43"/>
      <c r="K18" s="68"/>
      <c r="L18" s="1013"/>
      <c r="M18" s="1013"/>
      <c r="N18" s="1013"/>
    </row>
    <row r="19" spans="1:14" ht="15.75" thickBot="1" x14ac:dyDescent="0.3">
      <c r="A19" s="30"/>
      <c r="C19" s="69"/>
      <c r="D19" s="69"/>
      <c r="E19" s="35"/>
      <c r="F19" s="35"/>
      <c r="G19" s="35"/>
      <c r="H19" s="70"/>
      <c r="I19" s="35"/>
      <c r="J19" s="35"/>
      <c r="K19" s="35"/>
      <c r="L19" s="47"/>
      <c r="M19" s="47"/>
      <c r="N19" s="47"/>
    </row>
    <row r="20" spans="1:14" ht="16.5" thickBot="1" x14ac:dyDescent="0.3">
      <c r="A20" s="30"/>
      <c r="C20" s="32" t="s">
        <v>133</v>
      </c>
      <c r="D20" s="69"/>
      <c r="E20" s="71">
        <v>0.09</v>
      </c>
      <c r="F20" s="35"/>
      <c r="G20" s="35"/>
      <c r="H20" s="35"/>
      <c r="I20" s="35"/>
      <c r="J20" s="35"/>
      <c r="K20" s="35"/>
      <c r="L20" s="47"/>
      <c r="M20" s="47"/>
      <c r="N20" s="47"/>
    </row>
    <row r="21" spans="1:14" ht="15.75" thickBot="1" x14ac:dyDescent="0.3">
      <c r="A21" s="30"/>
      <c r="E21" s="35"/>
      <c r="F21" s="35"/>
      <c r="G21" s="35"/>
      <c r="H21" s="35"/>
      <c r="I21" s="70"/>
      <c r="J21" s="35"/>
      <c r="K21" s="35"/>
      <c r="L21" s="47"/>
      <c r="M21" s="47"/>
      <c r="N21" s="47"/>
    </row>
    <row r="22" spans="1:14" ht="31.5" x14ac:dyDescent="0.25">
      <c r="A22" s="72"/>
      <c r="C22" s="73" t="s">
        <v>134</v>
      </c>
      <c r="D22" s="73" t="s">
        <v>135</v>
      </c>
      <c r="E22" s="74" t="s">
        <v>136</v>
      </c>
      <c r="F22" s="75" t="s">
        <v>137</v>
      </c>
      <c r="G22" s="76" t="s">
        <v>138</v>
      </c>
      <c r="H22" s="35"/>
      <c r="I22" s="35"/>
      <c r="J22" s="35"/>
      <c r="K22" s="77"/>
      <c r="L22" s="78"/>
      <c r="M22" s="79"/>
      <c r="N22" s="79"/>
    </row>
    <row r="23" spans="1:14" ht="15.75" thickBot="1" x14ac:dyDescent="0.3">
      <c r="A23" s="72"/>
      <c r="C23" s="80" t="s">
        <v>139</v>
      </c>
      <c r="D23" s="80" t="s">
        <v>140</v>
      </c>
      <c r="E23" s="81"/>
      <c r="F23" s="81"/>
      <c r="G23" s="82"/>
      <c r="H23" s="83"/>
      <c r="I23" s="35"/>
      <c r="J23" s="35"/>
      <c r="K23" s="84"/>
      <c r="L23" s="85"/>
      <c r="M23" s="85"/>
      <c r="N23" s="85"/>
    </row>
    <row r="24" spans="1:14" ht="15.75" thickBot="1" x14ac:dyDescent="0.3">
      <c r="A24" s="72"/>
      <c r="C24" s="86" t="s">
        <v>141</v>
      </c>
      <c r="D24" s="86" t="s">
        <v>142</v>
      </c>
      <c r="E24" s="87" t="s">
        <v>143</v>
      </c>
      <c r="F24" s="88">
        <v>0.1</v>
      </c>
      <c r="G24" s="89"/>
      <c r="H24" s="90"/>
      <c r="I24" s="35"/>
      <c r="J24" s="35"/>
      <c r="K24" s="91"/>
      <c r="L24" s="85"/>
      <c r="M24" s="85"/>
      <c r="N24" s="85"/>
    </row>
    <row r="25" spans="1:14" ht="15.75" thickBot="1" x14ac:dyDescent="0.3">
      <c r="A25" s="72"/>
      <c r="C25" s="92" t="s">
        <v>144</v>
      </c>
      <c r="D25" s="92" t="s">
        <v>145</v>
      </c>
      <c r="E25" s="93"/>
      <c r="F25" s="94"/>
      <c r="G25" s="95"/>
      <c r="H25" s="96"/>
      <c r="I25" s="35"/>
      <c r="J25" s="35"/>
      <c r="K25" s="91"/>
      <c r="L25" s="85"/>
      <c r="M25" s="85"/>
      <c r="N25" s="85"/>
    </row>
    <row r="26" spans="1:14" ht="15.75" thickBot="1" x14ac:dyDescent="0.3">
      <c r="A26" s="72"/>
      <c r="C26" s="97" t="s">
        <v>146</v>
      </c>
      <c r="D26" s="97" t="s">
        <v>147</v>
      </c>
      <c r="E26" s="98" t="s">
        <v>148</v>
      </c>
      <c r="F26" s="99">
        <v>2</v>
      </c>
      <c r="G26" s="100">
        <v>8</v>
      </c>
      <c r="H26" s="101"/>
      <c r="I26" s="35"/>
      <c r="J26" s="35"/>
      <c r="K26" s="91"/>
      <c r="L26" s="85"/>
      <c r="M26" s="85"/>
      <c r="N26" s="85"/>
    </row>
    <row r="27" spans="1:14" ht="15.75" thickBot="1" x14ac:dyDescent="0.3">
      <c r="A27" s="72"/>
      <c r="C27" s="97" t="s">
        <v>149</v>
      </c>
      <c r="D27" s="97" t="s">
        <v>150</v>
      </c>
      <c r="E27" s="98" t="s">
        <v>148</v>
      </c>
      <c r="F27" s="99">
        <v>1</v>
      </c>
      <c r="G27" s="100">
        <v>8</v>
      </c>
      <c r="H27" s="101"/>
      <c r="I27" s="35"/>
      <c r="J27" s="35"/>
      <c r="K27" s="77"/>
      <c r="L27" s="85"/>
      <c r="M27" s="85"/>
      <c r="N27" s="85"/>
    </row>
    <row r="28" spans="1:14" ht="15.75" thickBot="1" x14ac:dyDescent="0.3">
      <c r="A28" s="72"/>
      <c r="C28" s="92" t="s">
        <v>151</v>
      </c>
      <c r="D28" s="92" t="s">
        <v>152</v>
      </c>
      <c r="E28" s="93"/>
      <c r="F28" s="94"/>
      <c r="G28" s="95"/>
      <c r="H28" s="90"/>
      <c r="I28" s="35"/>
      <c r="J28" s="35"/>
      <c r="K28" s="77"/>
      <c r="L28" s="85"/>
      <c r="M28" s="85"/>
      <c r="N28" s="85"/>
    </row>
    <row r="29" spans="1:14" ht="15.75" thickBot="1" x14ac:dyDescent="0.3">
      <c r="A29" s="72"/>
      <c r="C29" s="97" t="s">
        <v>146</v>
      </c>
      <c r="D29" s="97" t="s">
        <v>147</v>
      </c>
      <c r="E29" s="98" t="s">
        <v>148</v>
      </c>
      <c r="F29" s="99">
        <v>4</v>
      </c>
      <c r="G29" s="100">
        <v>15</v>
      </c>
      <c r="H29" s="102"/>
      <c r="I29" s="35"/>
      <c r="J29" s="35"/>
      <c r="K29" s="77"/>
      <c r="L29" s="85"/>
      <c r="M29" s="85"/>
      <c r="N29" s="85"/>
    </row>
    <row r="30" spans="1:14" ht="15.75" thickBot="1" x14ac:dyDescent="0.3">
      <c r="A30" s="72"/>
      <c r="C30" s="97" t="s">
        <v>149</v>
      </c>
      <c r="D30" s="97" t="s">
        <v>150</v>
      </c>
      <c r="E30" s="98" t="s">
        <v>148</v>
      </c>
      <c r="F30" s="99">
        <v>1</v>
      </c>
      <c r="G30" s="100">
        <v>15</v>
      </c>
      <c r="H30" s="90"/>
      <c r="I30" s="35"/>
      <c r="J30" s="35"/>
      <c r="K30" s="77"/>
      <c r="L30" s="85"/>
      <c r="M30" s="85"/>
      <c r="N30" s="85"/>
    </row>
    <row r="31" spans="1:14" ht="15.75" thickBot="1" x14ac:dyDescent="0.3">
      <c r="A31" s="72"/>
      <c r="C31" s="92" t="s">
        <v>153</v>
      </c>
      <c r="D31" s="92" t="s">
        <v>154</v>
      </c>
      <c r="E31" s="93"/>
      <c r="F31" s="94"/>
      <c r="G31" s="95"/>
      <c r="H31" s="90"/>
      <c r="I31" s="35"/>
      <c r="J31" s="35"/>
      <c r="K31" s="35"/>
      <c r="L31" s="47"/>
      <c r="M31" s="47"/>
      <c r="N31" s="47"/>
    </row>
    <row r="32" spans="1:14" ht="15.75" thickBot="1" x14ac:dyDescent="0.3">
      <c r="A32" s="72"/>
      <c r="C32" s="97" t="s">
        <v>146</v>
      </c>
      <c r="D32" s="97" t="s">
        <v>147</v>
      </c>
      <c r="E32" s="98" t="s">
        <v>148</v>
      </c>
      <c r="F32" s="99">
        <v>4</v>
      </c>
      <c r="G32" s="100">
        <v>12</v>
      </c>
      <c r="H32" s="102"/>
      <c r="I32" s="35"/>
      <c r="J32" s="35"/>
      <c r="K32" s="35"/>
      <c r="L32" s="47"/>
      <c r="M32" s="47"/>
      <c r="N32" s="47"/>
    </row>
    <row r="33" spans="1:14" ht="15.75" thickBot="1" x14ac:dyDescent="0.3">
      <c r="A33" s="72"/>
      <c r="C33" s="103" t="s">
        <v>149</v>
      </c>
      <c r="D33" s="104" t="s">
        <v>150</v>
      </c>
      <c r="E33" s="105" t="s">
        <v>148</v>
      </c>
      <c r="F33" s="99">
        <v>1</v>
      </c>
      <c r="G33" s="100">
        <v>12</v>
      </c>
      <c r="H33" s="90"/>
      <c r="I33" s="35"/>
      <c r="J33" s="35"/>
      <c r="K33" s="35"/>
      <c r="L33" s="47"/>
      <c r="M33" s="47"/>
      <c r="N33" s="47"/>
    </row>
    <row r="34" spans="1:14" ht="15.75" thickBot="1" x14ac:dyDescent="0.3">
      <c r="A34" s="72"/>
      <c r="C34" s="106" t="s">
        <v>216</v>
      </c>
      <c r="D34" s="92" t="s">
        <v>217</v>
      </c>
      <c r="E34" s="93"/>
      <c r="F34" s="94"/>
      <c r="G34" s="95"/>
      <c r="H34" s="90"/>
      <c r="I34" s="35"/>
      <c r="J34" s="35"/>
      <c r="K34" s="35"/>
      <c r="L34" s="47"/>
      <c r="M34" s="47"/>
      <c r="N34" s="47"/>
    </row>
    <row r="35" spans="1:14" ht="15.75" thickBot="1" x14ac:dyDescent="0.3">
      <c r="A35" s="72"/>
      <c r="C35" s="107" t="s">
        <v>146</v>
      </c>
      <c r="D35" s="97" t="s">
        <v>147</v>
      </c>
      <c r="E35" s="98" t="s">
        <v>148</v>
      </c>
      <c r="F35" s="99">
        <v>0</v>
      </c>
      <c r="G35" s="100">
        <v>0</v>
      </c>
      <c r="H35" s="102"/>
      <c r="I35" s="35"/>
      <c r="J35" s="35"/>
      <c r="K35" s="35"/>
      <c r="L35" s="47"/>
      <c r="M35" s="47"/>
      <c r="N35" s="47"/>
    </row>
    <row r="36" spans="1:14" ht="15.75" thickBot="1" x14ac:dyDescent="0.3">
      <c r="A36" s="72"/>
      <c r="C36" s="108" t="s">
        <v>149</v>
      </c>
      <c r="D36" s="109" t="s">
        <v>150</v>
      </c>
      <c r="E36" s="110" t="s">
        <v>148</v>
      </c>
      <c r="F36" s="99">
        <v>0</v>
      </c>
      <c r="G36" s="100">
        <v>0</v>
      </c>
      <c r="H36" s="90"/>
      <c r="I36" s="35"/>
      <c r="J36" s="35"/>
      <c r="K36" s="35"/>
      <c r="L36" s="47"/>
      <c r="M36" s="47"/>
      <c r="N36" s="47"/>
    </row>
    <row r="37" spans="1:14" ht="15.75" thickBot="1" x14ac:dyDescent="0.3">
      <c r="A37" s="72"/>
      <c r="C37" s="111"/>
      <c r="D37" s="111"/>
      <c r="E37" s="112"/>
      <c r="F37" s="113"/>
      <c r="G37" s="114"/>
      <c r="H37" s="90"/>
      <c r="I37" s="35"/>
      <c r="J37" s="35"/>
      <c r="K37" s="35"/>
      <c r="L37" s="47"/>
      <c r="M37" s="47"/>
      <c r="N37" s="47"/>
    </row>
    <row r="38" spans="1:14" x14ac:dyDescent="0.25">
      <c r="A38" s="72"/>
      <c r="C38" s="115" t="s">
        <v>155</v>
      </c>
      <c r="D38" s="115" t="s">
        <v>156</v>
      </c>
      <c r="E38" s="116"/>
      <c r="F38" s="116"/>
      <c r="G38" s="117"/>
      <c r="H38" s="90"/>
      <c r="I38" s="35"/>
      <c r="J38" s="35"/>
      <c r="K38" s="35"/>
      <c r="L38" s="47"/>
      <c r="M38" s="47"/>
      <c r="N38" s="47"/>
    </row>
    <row r="39" spans="1:14" s="47" customFormat="1" ht="15" customHeight="1" thickBot="1" x14ac:dyDescent="0.3">
      <c r="A39" s="39"/>
      <c r="C39" s="92" t="s">
        <v>144</v>
      </c>
      <c r="D39" s="92" t="s">
        <v>145</v>
      </c>
      <c r="E39" s="93"/>
      <c r="F39" s="94"/>
      <c r="G39" s="95"/>
      <c r="H39" s="57"/>
      <c r="I39" s="57"/>
      <c r="J39" s="43"/>
      <c r="K39" s="43"/>
    </row>
    <row r="40" spans="1:14" ht="15.75" thickBot="1" x14ac:dyDescent="0.3">
      <c r="A40" s="72"/>
      <c r="C40" s="118" t="s">
        <v>157</v>
      </c>
      <c r="D40" s="118" t="s">
        <v>158</v>
      </c>
      <c r="E40" s="93" t="s">
        <v>159</v>
      </c>
      <c r="F40" s="99">
        <v>1</v>
      </c>
      <c r="G40" s="100">
        <v>1</v>
      </c>
      <c r="H40" s="90"/>
      <c r="I40" s="35"/>
      <c r="J40" s="35"/>
      <c r="K40" s="68"/>
      <c r="L40" s="47"/>
      <c r="M40" s="47"/>
      <c r="N40" s="47"/>
    </row>
    <row r="41" spans="1:14" ht="15.75" thickBot="1" x14ac:dyDescent="0.3">
      <c r="A41" s="72"/>
      <c r="C41" s="118" t="s">
        <v>160</v>
      </c>
      <c r="D41" s="118" t="s">
        <v>161</v>
      </c>
      <c r="E41" s="93" t="s">
        <v>159</v>
      </c>
      <c r="F41" s="99">
        <v>1</v>
      </c>
      <c r="G41" s="100"/>
      <c r="H41" s="119"/>
      <c r="I41" s="35"/>
      <c r="J41" s="35"/>
      <c r="K41" s="70"/>
      <c r="L41" s="47"/>
      <c r="M41" s="47"/>
      <c r="N41" s="47"/>
    </row>
    <row r="42" spans="1:14" ht="15.75" thickBot="1" x14ac:dyDescent="0.3">
      <c r="A42" s="72"/>
      <c r="C42" s="120" t="s">
        <v>162</v>
      </c>
      <c r="D42" s="121" t="s">
        <v>163</v>
      </c>
      <c r="E42" s="122" t="s">
        <v>159</v>
      </c>
      <c r="F42" s="99">
        <v>1</v>
      </c>
      <c r="G42" s="100">
        <v>0</v>
      </c>
      <c r="H42" s="119"/>
      <c r="I42" s="35"/>
      <c r="J42" s="35"/>
      <c r="K42" s="35"/>
      <c r="L42" s="47"/>
      <c r="M42" s="47"/>
      <c r="N42" s="47"/>
    </row>
    <row r="43" spans="1:14" ht="15.75" thickBot="1" x14ac:dyDescent="0.3">
      <c r="A43" s="72"/>
      <c r="C43" s="123"/>
      <c r="D43" s="123"/>
      <c r="E43" s="124"/>
      <c r="F43" s="125" t="s">
        <v>164</v>
      </c>
      <c r="G43" s="126">
        <v>1</v>
      </c>
      <c r="H43" s="119"/>
      <c r="I43" s="35"/>
      <c r="J43" s="35"/>
      <c r="K43" s="35"/>
      <c r="L43" s="47"/>
      <c r="M43" s="47"/>
      <c r="N43" s="47"/>
    </row>
    <row r="44" spans="1:14" ht="15.75" thickBot="1" x14ac:dyDescent="0.3">
      <c r="A44" s="72"/>
      <c r="C44" s="127" t="s">
        <v>165</v>
      </c>
      <c r="D44" s="127" t="s">
        <v>152</v>
      </c>
      <c r="E44" s="128"/>
      <c r="F44" s="129"/>
      <c r="G44" s="130"/>
      <c r="H44" s="119"/>
      <c r="I44" s="35"/>
      <c r="J44" s="35"/>
      <c r="K44" s="35"/>
      <c r="L44" s="47"/>
      <c r="M44" s="47"/>
      <c r="N44" s="47"/>
    </row>
    <row r="45" spans="1:14" ht="15.75" thickBot="1" x14ac:dyDescent="0.3">
      <c r="A45" s="72"/>
      <c r="C45" s="118" t="s">
        <v>157</v>
      </c>
      <c r="D45" s="118" t="s">
        <v>158</v>
      </c>
      <c r="E45" s="93" t="s">
        <v>159</v>
      </c>
      <c r="F45" s="99">
        <v>1</v>
      </c>
      <c r="G45" s="100">
        <v>1</v>
      </c>
      <c r="H45" s="119"/>
      <c r="I45" s="35"/>
      <c r="J45" s="35"/>
      <c r="K45" s="35"/>
      <c r="L45" s="47"/>
      <c r="M45" s="47"/>
      <c r="N45" s="47"/>
    </row>
    <row r="46" spans="1:14" ht="15.75" thickBot="1" x14ac:dyDescent="0.3">
      <c r="A46" s="72"/>
      <c r="C46" s="118" t="s">
        <v>166</v>
      </c>
      <c r="D46" s="118" t="s">
        <v>161</v>
      </c>
      <c r="E46" s="93" t="s">
        <v>159</v>
      </c>
      <c r="F46" s="99">
        <v>1</v>
      </c>
      <c r="G46" s="100">
        <v>550</v>
      </c>
      <c r="H46" s="101"/>
      <c r="I46" s="131"/>
      <c r="J46" s="35"/>
      <c r="K46" s="35"/>
      <c r="L46" s="47"/>
      <c r="M46" s="47"/>
      <c r="N46" s="47"/>
    </row>
    <row r="47" spans="1:14" ht="15.75" thickBot="1" x14ac:dyDescent="0.3">
      <c r="A47" s="72"/>
      <c r="C47" s="132" t="s">
        <v>167</v>
      </c>
      <c r="D47" s="118" t="s">
        <v>168</v>
      </c>
      <c r="E47" s="93" t="s">
        <v>159</v>
      </c>
      <c r="F47" s="99">
        <v>1</v>
      </c>
      <c r="G47" s="100">
        <v>11</v>
      </c>
      <c r="H47" s="101"/>
      <c r="I47" s="35"/>
      <c r="J47" s="35"/>
      <c r="K47" s="35"/>
      <c r="L47" s="47"/>
      <c r="M47" s="47"/>
      <c r="N47" s="47"/>
    </row>
    <row r="48" spans="1:14" ht="15.75" thickBot="1" x14ac:dyDescent="0.3">
      <c r="A48" s="72"/>
      <c r="C48" s="120" t="s">
        <v>162</v>
      </c>
      <c r="D48" s="121" t="s">
        <v>163</v>
      </c>
      <c r="E48" s="122" t="s">
        <v>159</v>
      </c>
      <c r="F48" s="99">
        <v>1</v>
      </c>
      <c r="G48" s="100">
        <v>0</v>
      </c>
      <c r="H48" s="101"/>
      <c r="I48" s="35"/>
      <c r="J48" s="35"/>
      <c r="K48" s="35"/>
      <c r="L48" s="47"/>
      <c r="M48" s="47"/>
      <c r="N48" s="47"/>
    </row>
    <row r="49" spans="1:14" ht="15.75" thickBot="1" x14ac:dyDescent="0.3">
      <c r="A49" s="72"/>
      <c r="C49" s="123"/>
      <c r="D49" s="123"/>
      <c r="E49" s="124"/>
      <c r="F49" s="125" t="s">
        <v>164</v>
      </c>
      <c r="G49" s="126">
        <v>562</v>
      </c>
      <c r="H49" s="119"/>
      <c r="I49" s="35"/>
      <c r="J49" s="35"/>
      <c r="K49" s="35"/>
      <c r="L49" s="47"/>
      <c r="M49" s="47"/>
      <c r="N49" s="47"/>
    </row>
    <row r="50" spans="1:14" ht="15.75" thickBot="1" x14ac:dyDescent="0.3">
      <c r="A50" s="72"/>
      <c r="C50" s="127" t="s">
        <v>169</v>
      </c>
      <c r="D50" s="127" t="s">
        <v>154</v>
      </c>
      <c r="E50" s="128"/>
      <c r="F50" s="129"/>
      <c r="G50" s="130"/>
      <c r="H50" s="119"/>
      <c r="I50" s="35"/>
      <c r="J50" s="35"/>
      <c r="K50" s="35"/>
      <c r="L50" s="47"/>
      <c r="M50" s="47"/>
      <c r="N50" s="47"/>
    </row>
    <row r="51" spans="1:14" ht="15.75" thickBot="1" x14ac:dyDescent="0.3">
      <c r="A51" s="72"/>
      <c r="C51" s="118" t="s">
        <v>157</v>
      </c>
      <c r="D51" s="118" t="s">
        <v>158</v>
      </c>
      <c r="E51" s="93" t="s">
        <v>159</v>
      </c>
      <c r="F51" s="99">
        <v>1</v>
      </c>
      <c r="G51" s="100">
        <v>1</v>
      </c>
      <c r="H51" s="90"/>
      <c r="I51" s="35"/>
      <c r="J51" s="35"/>
      <c r="K51" s="35"/>
      <c r="L51" s="47"/>
      <c r="M51" s="47"/>
      <c r="N51" s="47"/>
    </row>
    <row r="52" spans="1:14" ht="15.75" thickBot="1" x14ac:dyDescent="0.3">
      <c r="A52" s="72"/>
      <c r="C52" s="118" t="s">
        <v>166</v>
      </c>
      <c r="D52" s="118" t="s">
        <v>161</v>
      </c>
      <c r="E52" s="93" t="s">
        <v>159</v>
      </c>
      <c r="F52" s="99">
        <v>1</v>
      </c>
      <c r="G52" s="133">
        <v>200</v>
      </c>
      <c r="H52" s="101"/>
      <c r="I52" s="70"/>
      <c r="J52" s="35"/>
      <c r="K52" s="35"/>
      <c r="L52" s="47"/>
      <c r="M52" s="134"/>
      <c r="N52" s="47"/>
    </row>
    <row r="53" spans="1:14" ht="15.75" thickBot="1" x14ac:dyDescent="0.3">
      <c r="A53" s="72"/>
      <c r="C53" s="132" t="s">
        <v>167</v>
      </c>
      <c r="D53" s="118" t="s">
        <v>168</v>
      </c>
      <c r="E53" s="93" t="s">
        <v>159</v>
      </c>
      <c r="F53" s="99">
        <v>1</v>
      </c>
      <c r="G53" s="100">
        <v>22</v>
      </c>
      <c r="H53" s="101"/>
      <c r="I53" s="35"/>
      <c r="J53" s="35"/>
      <c r="K53" s="35"/>
      <c r="L53" s="47"/>
      <c r="M53" s="47"/>
      <c r="N53" s="47"/>
    </row>
    <row r="54" spans="1:14" ht="15.75" thickBot="1" x14ac:dyDescent="0.3">
      <c r="A54" s="72"/>
      <c r="C54" s="120" t="s">
        <v>162</v>
      </c>
      <c r="D54" s="121" t="s">
        <v>163</v>
      </c>
      <c r="E54" s="122" t="s">
        <v>159</v>
      </c>
      <c r="F54" s="99">
        <v>1</v>
      </c>
      <c r="G54" s="100">
        <v>0</v>
      </c>
      <c r="H54" s="101"/>
      <c r="I54" s="35"/>
      <c r="J54" s="35"/>
      <c r="K54" s="35"/>
      <c r="L54" s="47"/>
      <c r="M54" s="47"/>
      <c r="N54" s="47"/>
    </row>
    <row r="55" spans="1:14" ht="15.75" thickBot="1" x14ac:dyDescent="0.3">
      <c r="A55" s="72"/>
      <c r="C55" s="123"/>
      <c r="D55" s="123"/>
      <c r="E55" s="124"/>
      <c r="F55" s="125" t="s">
        <v>164</v>
      </c>
      <c r="G55" s="126">
        <v>223</v>
      </c>
      <c r="H55" s="119"/>
      <c r="I55" s="35"/>
      <c r="J55" s="35"/>
      <c r="K55" s="35"/>
      <c r="L55" s="47"/>
      <c r="M55" s="47"/>
      <c r="N55" s="47"/>
    </row>
    <row r="56" spans="1:14" ht="15.75" thickBot="1" x14ac:dyDescent="0.3">
      <c r="A56" s="72"/>
      <c r="C56" s="135" t="s">
        <v>170</v>
      </c>
      <c r="D56" s="127" t="s">
        <v>171</v>
      </c>
      <c r="E56" s="128"/>
      <c r="F56" s="129"/>
      <c r="G56" s="130"/>
      <c r="H56" s="119"/>
      <c r="I56" s="35"/>
      <c r="J56" s="35"/>
      <c r="K56" s="35"/>
      <c r="L56" s="47"/>
      <c r="M56" s="47"/>
      <c r="N56" s="47"/>
    </row>
    <row r="57" spans="1:14" ht="15.75" thickBot="1" x14ac:dyDescent="0.3">
      <c r="A57" s="72"/>
      <c r="C57" s="136" t="s">
        <v>157</v>
      </c>
      <c r="D57" s="118" t="s">
        <v>172</v>
      </c>
      <c r="E57" s="93" t="s">
        <v>159</v>
      </c>
      <c r="F57" s="99"/>
      <c r="G57" s="100"/>
      <c r="H57" s="90"/>
      <c r="I57" s="35"/>
      <c r="J57" s="35"/>
      <c r="K57" s="35"/>
      <c r="L57" s="47"/>
      <c r="M57" s="47"/>
      <c r="N57" s="47"/>
    </row>
    <row r="58" spans="1:14" ht="15.75" thickBot="1" x14ac:dyDescent="0.3">
      <c r="A58" s="72"/>
      <c r="C58" s="136" t="s">
        <v>166</v>
      </c>
      <c r="D58" s="118" t="s">
        <v>161</v>
      </c>
      <c r="E58" s="93" t="s">
        <v>159</v>
      </c>
      <c r="F58" s="99"/>
      <c r="G58" s="100"/>
      <c r="H58" s="101"/>
      <c r="I58" s="70"/>
      <c r="J58" s="35"/>
      <c r="K58" s="35"/>
      <c r="L58" s="47"/>
      <c r="M58" s="134"/>
      <c r="N58" s="47"/>
    </row>
    <row r="59" spans="1:14" ht="15.75" thickBot="1" x14ac:dyDescent="0.3">
      <c r="A59" s="72"/>
      <c r="C59" s="137" t="s">
        <v>167</v>
      </c>
      <c r="D59" s="118" t="s">
        <v>168</v>
      </c>
      <c r="E59" s="93" t="s">
        <v>159</v>
      </c>
      <c r="F59" s="99"/>
      <c r="G59" s="100"/>
      <c r="H59" s="101"/>
      <c r="I59" s="35"/>
      <c r="J59" s="35"/>
      <c r="K59" s="35"/>
      <c r="L59" s="47"/>
      <c r="M59" s="47"/>
      <c r="N59" s="47"/>
    </row>
    <row r="60" spans="1:14" ht="15.75" thickBot="1" x14ac:dyDescent="0.3">
      <c r="A60" s="72"/>
      <c r="C60" s="120" t="s">
        <v>162</v>
      </c>
      <c r="D60" s="121" t="s">
        <v>163</v>
      </c>
      <c r="E60" s="122" t="s">
        <v>159</v>
      </c>
      <c r="F60" s="99"/>
      <c r="G60" s="100">
        <v>0</v>
      </c>
      <c r="H60" s="101"/>
      <c r="I60" s="35"/>
      <c r="J60" s="35"/>
      <c r="K60" s="35"/>
      <c r="L60" s="47"/>
      <c r="M60" s="47"/>
      <c r="N60" s="47"/>
    </row>
    <row r="61" spans="1:14" ht="15.75" thickBot="1" x14ac:dyDescent="0.3">
      <c r="A61" s="72"/>
      <c r="C61" s="123"/>
      <c r="D61" s="123"/>
      <c r="E61" s="124"/>
      <c r="F61" s="125" t="s">
        <v>164</v>
      </c>
      <c r="G61" s="126">
        <v>0</v>
      </c>
      <c r="H61" s="119"/>
      <c r="I61" s="35"/>
      <c r="J61" s="35"/>
      <c r="K61" s="35"/>
      <c r="L61" s="47"/>
      <c r="M61" s="47"/>
      <c r="N61" s="47"/>
    </row>
    <row r="62" spans="1:14" ht="15.75" thickBot="1" x14ac:dyDescent="0.3">
      <c r="A62" s="72"/>
      <c r="C62" s="127" t="s">
        <v>173</v>
      </c>
      <c r="D62" s="127" t="s">
        <v>174</v>
      </c>
      <c r="E62" s="128"/>
      <c r="F62" s="129"/>
      <c r="G62" s="130"/>
      <c r="H62" s="119"/>
      <c r="I62" s="35"/>
      <c r="J62" s="35"/>
      <c r="K62" s="35"/>
      <c r="L62" s="47"/>
      <c r="M62" s="47"/>
      <c r="N62" s="47"/>
    </row>
    <row r="63" spans="1:14" ht="15.75" thickBot="1" x14ac:dyDescent="0.3">
      <c r="A63" s="72"/>
      <c r="C63" s="118" t="s">
        <v>175</v>
      </c>
      <c r="D63" s="118" t="s">
        <v>176</v>
      </c>
      <c r="E63" s="98" t="s">
        <v>159</v>
      </c>
      <c r="F63" s="99">
        <v>1</v>
      </c>
      <c r="G63" s="100">
        <v>25</v>
      </c>
      <c r="H63" s="90"/>
      <c r="I63" s="35"/>
      <c r="J63" s="35"/>
      <c r="K63" s="35"/>
      <c r="L63" s="47"/>
      <c r="M63" s="47"/>
      <c r="N63" s="47"/>
    </row>
    <row r="64" spans="1:14" ht="26.25" thickBot="1" x14ac:dyDescent="0.3">
      <c r="A64" s="138"/>
      <c r="C64" s="118" t="s">
        <v>177</v>
      </c>
      <c r="D64" s="118" t="s">
        <v>178</v>
      </c>
      <c r="E64" s="93" t="s">
        <v>159</v>
      </c>
      <c r="F64" s="99">
        <v>1</v>
      </c>
      <c r="G64" s="100">
        <v>0</v>
      </c>
      <c r="H64" s="83"/>
      <c r="I64" s="35"/>
      <c r="J64" s="35"/>
      <c r="K64" s="35"/>
      <c r="N64" s="47"/>
    </row>
    <row r="65" spans="1:14" ht="15.75" thickBot="1" x14ac:dyDescent="0.3">
      <c r="A65" s="72"/>
      <c r="C65" s="120" t="s">
        <v>162</v>
      </c>
      <c r="D65" s="121" t="s">
        <v>163</v>
      </c>
      <c r="E65" s="122" t="s">
        <v>159</v>
      </c>
      <c r="F65" s="99">
        <v>1</v>
      </c>
      <c r="G65" s="100">
        <v>0</v>
      </c>
      <c r="H65" s="119"/>
      <c r="I65" s="35"/>
      <c r="J65" s="35"/>
      <c r="K65" s="35"/>
      <c r="N65" s="47"/>
    </row>
    <row r="66" spans="1:14" ht="15.75" thickBot="1" x14ac:dyDescent="0.3">
      <c r="A66" s="72"/>
      <c r="C66" s="132"/>
      <c r="D66" s="132"/>
      <c r="E66" s="93"/>
      <c r="F66" s="139" t="s">
        <v>164</v>
      </c>
      <c r="G66" s="126">
        <v>25</v>
      </c>
      <c r="H66" s="119"/>
      <c r="I66" s="35"/>
      <c r="J66" s="70"/>
      <c r="K66" s="140"/>
      <c r="N66" s="47"/>
    </row>
    <row r="67" spans="1:14" s="142" customFormat="1" ht="15.75" thickBot="1" x14ac:dyDescent="0.3">
      <c r="A67" s="141"/>
      <c r="C67" s="143"/>
      <c r="D67" s="143"/>
      <c r="E67" s="144"/>
      <c r="F67" s="145"/>
      <c r="G67" s="146"/>
      <c r="H67" s="147"/>
      <c r="I67" s="77"/>
      <c r="J67" s="77"/>
      <c r="K67" s="148"/>
      <c r="N67" s="85"/>
    </row>
    <row r="68" spans="1:14" ht="15.75" thickBot="1" x14ac:dyDescent="0.3">
      <c r="A68" s="72"/>
      <c r="C68" s="149" t="s">
        <v>179</v>
      </c>
      <c r="D68" s="149" t="s">
        <v>180</v>
      </c>
      <c r="E68" s="150"/>
      <c r="F68" s="150"/>
      <c r="G68" s="151"/>
      <c r="H68" s="83"/>
      <c r="I68" s="35"/>
      <c r="J68" s="35"/>
      <c r="K68" s="35"/>
      <c r="N68" s="47"/>
    </row>
    <row r="69" spans="1:14" ht="15.75" thickBot="1" x14ac:dyDescent="0.3">
      <c r="A69" s="72"/>
      <c r="C69" s="152" t="s">
        <v>181</v>
      </c>
      <c r="D69" s="152" t="s">
        <v>182</v>
      </c>
      <c r="E69" s="98" t="s">
        <v>143</v>
      </c>
      <c r="F69" s="153">
        <v>0.15</v>
      </c>
      <c r="G69" s="154"/>
      <c r="H69" s="83"/>
      <c r="I69" s="35"/>
      <c r="J69" s="35"/>
      <c r="K69" s="35"/>
      <c r="N69" s="47"/>
    </row>
    <row r="70" spans="1:14" ht="15.75" thickBot="1" x14ac:dyDescent="0.3">
      <c r="A70" s="72"/>
      <c r="C70" s="152" t="s">
        <v>183</v>
      </c>
      <c r="D70" s="152" t="s">
        <v>184</v>
      </c>
      <c r="E70" s="98" t="s">
        <v>143</v>
      </c>
      <c r="F70" s="153">
        <v>0.1</v>
      </c>
      <c r="G70" s="154"/>
      <c r="H70" s="101"/>
      <c r="I70" s="140"/>
      <c r="J70" s="35"/>
      <c r="K70" s="35"/>
      <c r="N70" s="47"/>
    </row>
    <row r="71" spans="1:14" ht="15.75" thickBot="1" x14ac:dyDescent="0.3">
      <c r="A71" s="72"/>
      <c r="C71" s="118" t="s">
        <v>185</v>
      </c>
      <c r="D71" s="118" t="s">
        <v>186</v>
      </c>
      <c r="E71" s="98" t="s">
        <v>187</v>
      </c>
      <c r="F71" s="155"/>
      <c r="G71" s="100">
        <f>80+10+5</f>
        <v>95</v>
      </c>
      <c r="H71" s="101"/>
      <c r="I71" s="70"/>
      <c r="J71" s="35"/>
      <c r="K71" s="35"/>
      <c r="N71" s="47"/>
    </row>
    <row r="72" spans="1:14" ht="15.75" thickBot="1" x14ac:dyDescent="0.3">
      <c r="A72" s="72"/>
      <c r="C72" s="118" t="s">
        <v>188</v>
      </c>
      <c r="D72" s="118" t="s">
        <v>189</v>
      </c>
      <c r="E72" s="98" t="s">
        <v>190</v>
      </c>
      <c r="F72" s="156">
        <v>1</v>
      </c>
      <c r="G72" s="157">
        <v>200</v>
      </c>
      <c r="H72" s="83"/>
      <c r="I72" s="35"/>
      <c r="J72" s="70"/>
      <c r="K72" s="35"/>
      <c r="N72" s="47"/>
    </row>
    <row r="73" spans="1:14" ht="15.75" thickBot="1" x14ac:dyDescent="0.3">
      <c r="A73" s="72"/>
      <c r="C73" s="118" t="s">
        <v>191</v>
      </c>
      <c r="D73" s="118" t="s">
        <v>192</v>
      </c>
      <c r="E73" s="98" t="s">
        <v>193</v>
      </c>
      <c r="F73" s="156">
        <v>0</v>
      </c>
      <c r="G73" s="157">
        <v>250</v>
      </c>
      <c r="H73" s="83"/>
      <c r="I73" s="35"/>
      <c r="J73" s="35"/>
      <c r="K73" s="35"/>
      <c r="L73" s="47"/>
      <c r="M73" s="47"/>
      <c r="N73" s="47"/>
    </row>
    <row r="74" spans="1:14" ht="15.75" thickBot="1" x14ac:dyDescent="0.3">
      <c r="A74" s="72"/>
      <c r="C74" s="118" t="s">
        <v>194</v>
      </c>
      <c r="D74" s="118" t="s">
        <v>195</v>
      </c>
      <c r="E74" s="98" t="s">
        <v>196</v>
      </c>
      <c r="F74" s="156">
        <v>0</v>
      </c>
      <c r="G74" s="157">
        <v>250</v>
      </c>
      <c r="H74" s="83"/>
      <c r="I74" s="140"/>
      <c r="J74" s="35"/>
      <c r="K74" s="35"/>
      <c r="L74" s="47"/>
      <c r="M74" s="47"/>
      <c r="N74" s="47"/>
    </row>
    <row r="75" spans="1:14" ht="15.75" thickBot="1" x14ac:dyDescent="0.3">
      <c r="A75" s="72"/>
      <c r="C75" s="136" t="s">
        <v>197</v>
      </c>
      <c r="D75" s="118" t="s">
        <v>198</v>
      </c>
      <c r="E75" s="98" t="s">
        <v>199</v>
      </c>
      <c r="F75" s="156">
        <v>0</v>
      </c>
      <c r="G75" s="157">
        <v>250</v>
      </c>
      <c r="H75" s="83"/>
      <c r="I75" s="140"/>
      <c r="J75" s="35"/>
      <c r="K75" s="35"/>
      <c r="L75" s="47"/>
      <c r="M75" s="47"/>
      <c r="N75" s="47"/>
    </row>
    <row r="76" spans="1:14" ht="15.75" thickBot="1" x14ac:dyDescent="0.3">
      <c r="A76" s="72"/>
      <c r="C76" s="92" t="s">
        <v>200</v>
      </c>
      <c r="D76" s="92" t="s">
        <v>201</v>
      </c>
      <c r="E76" s="93"/>
      <c r="F76" s="94"/>
      <c r="G76" s="95"/>
      <c r="H76" s="90"/>
      <c r="I76" s="35"/>
      <c r="J76" s="35"/>
      <c r="K76" s="35"/>
      <c r="L76" s="47"/>
      <c r="M76" s="47"/>
      <c r="N76" s="47"/>
    </row>
    <row r="77" spans="1:14" ht="15.75" thickBot="1" x14ac:dyDescent="0.3">
      <c r="A77" s="72"/>
      <c r="C77" s="132" t="s">
        <v>202</v>
      </c>
      <c r="D77" s="132" t="s">
        <v>203</v>
      </c>
      <c r="E77" s="158" t="s">
        <v>204</v>
      </c>
      <c r="F77" s="99">
        <v>1</v>
      </c>
      <c r="G77" s="100">
        <v>66</v>
      </c>
      <c r="H77" s="83"/>
      <c r="I77" s="35"/>
      <c r="J77" s="35"/>
      <c r="K77" s="35"/>
      <c r="L77" s="47"/>
      <c r="M77" s="47"/>
      <c r="N77" s="47"/>
    </row>
    <row r="78" spans="1:14" ht="15.75" thickBot="1" x14ac:dyDescent="0.3">
      <c r="A78" s="72"/>
      <c r="C78" s="132" t="s">
        <v>205</v>
      </c>
      <c r="D78" s="132" t="s">
        <v>206</v>
      </c>
      <c r="E78" s="158" t="s">
        <v>204</v>
      </c>
      <c r="F78" s="99">
        <v>1</v>
      </c>
      <c r="G78" s="100">
        <v>132</v>
      </c>
      <c r="H78" s="83"/>
      <c r="I78" s="35"/>
      <c r="J78" s="35"/>
      <c r="K78" s="35"/>
      <c r="L78" s="47"/>
      <c r="M78" s="47"/>
      <c r="N78" s="47"/>
    </row>
    <row r="79" spans="1:14" ht="15.75" thickBot="1" x14ac:dyDescent="0.3">
      <c r="A79" s="138"/>
      <c r="C79" s="159"/>
      <c r="D79" s="159"/>
      <c r="E79" s="160"/>
      <c r="F79" s="161" t="s">
        <v>46</v>
      </c>
      <c r="G79" s="126">
        <v>198</v>
      </c>
      <c r="H79" s="83"/>
      <c r="I79" s="35"/>
      <c r="J79" s="35"/>
      <c r="K79" s="35"/>
      <c r="L79" s="47"/>
      <c r="M79" s="47"/>
      <c r="N79" s="47"/>
    </row>
    <row r="80" spans="1:14" x14ac:dyDescent="0.25">
      <c r="A80" s="138"/>
      <c r="C80" s="138"/>
      <c r="D80" s="138"/>
      <c r="E80" s="83"/>
      <c r="F80" s="162"/>
      <c r="G80" s="163"/>
      <c r="H80" s="90"/>
      <c r="I80" s="83"/>
      <c r="L80" s="47"/>
      <c r="M80" s="47"/>
      <c r="N80" s="47"/>
    </row>
    <row r="81" spans="1:14" ht="13.9" hidden="1" customHeight="1" x14ac:dyDescent="0.25">
      <c r="A81" s="138"/>
      <c r="C81" s="164" t="s">
        <v>207</v>
      </c>
      <c r="D81" s="138"/>
      <c r="E81" s="165">
        <f>ROUND(IF($F$18&gt;0,(E11+$E$16*E11/$F$16+$E$17*E11/$F$17+$E$18*E11/$F$18),IF($F$17&gt;0,(E11+$E$16*E11/$F$16+$E$17*E11/$F$17),IF($F$16&gt;0,(E11+$E$16*E11/$F$16),E11))),0)</f>
        <v>101</v>
      </c>
      <c r="F81" s="165">
        <f>ROUND(IF($F$18&gt;0,(F11+$E$16*F11/$F$16+$E$17*F11/$F$17+$E$18*F11/$F$18),IF($F$17&gt;0,(F11+$E$16*F11/$F$16+$E$17*F11/$F$17),IF($F$16&gt;0,(F11+$E$16*F11/$F$16),F11))),0)</f>
        <v>201</v>
      </c>
      <c r="G81" s="165">
        <f>ROUND(IF($F$18&gt;0,(G11+$E$16*G11/$F$16+$E$17*G11/$F$17+$E$18*G11/$F$18),IF($F$17&gt;0,(G11+$E$16*G11/$F$16+$E$17*G11/$F$17),IF($F$16&gt;0,(G11+$E$16*G11/$F$16),G11))),0)</f>
        <v>503</v>
      </c>
      <c r="H81" s="165">
        <f>ROUND(IF($F$18&gt;0,(H11+$E$16*H11/$F$16+$E$17*H11/$F$17+$E$18*H11/$F$18),IF($F$17&gt;0,(H11+$E$16*H11/$F$16+$E$17*H11/$F$17),IF($F$16&gt;0,(H11+$E$16*H11/$F$16),H11))),0)</f>
        <v>1006</v>
      </c>
      <c r="I81" s="165">
        <f>ROUND(IF($F$18&gt;0,(I11+$E$16*I11/$F$16+$E$17*I11/$F$17+$E$18*I11/$F$18),IF($F$17&gt;0,(I11+$E$16*I11/$F$16+$E$17*I11/$F$17),IF($F$16&gt;0,(I11+$E$16*I11/$F$16),I11))),0)</f>
        <v>2515</v>
      </c>
      <c r="L81" s="47"/>
      <c r="M81" s="47"/>
      <c r="N81" s="47"/>
    </row>
    <row r="82" spans="1:14" ht="13.9" hidden="1" customHeight="1" x14ac:dyDescent="0.25">
      <c r="A82" s="138"/>
      <c r="C82" s="164" t="s">
        <v>208</v>
      </c>
      <c r="D82" s="138"/>
      <c r="E82" s="165">
        <f>IF(E13="Community",10,IF(E13="Standard",50,IF(E13="PRO",250,IF(E13="Advanced",500,IF(E13="Enterprise",2000)))))</f>
        <v>50</v>
      </c>
      <c r="F82" s="165">
        <f>IF(F13="Community",10,IF(F13="Standard",50,IF(F13="PRO",250,IF(F13="Advanced",500,IF(F13="Enterprise",2000)))))</f>
        <v>250</v>
      </c>
      <c r="G82" s="165">
        <f>IF(G13="Community",10,IF(G13="Standard",50,IF(G13="PRO",250,IF(G13="Advanced",500,IF(G13="Enterprise",2000)))))</f>
        <v>250</v>
      </c>
      <c r="H82" s="165">
        <f>IF(H13="Community",10,IF(H13="Standard",50,IF(H13="PRO",250,IF(H13="Advanced",500,IF(H13="Enterprise",2000)))))</f>
        <v>500</v>
      </c>
      <c r="I82" s="165">
        <f>IF(I13="Community",10,IF(I13="Standard",50,IF(I13="PRO",250,IF(I13="Advanced",500,IF(I13="Enterprise",2000)))))</f>
        <v>2000</v>
      </c>
      <c r="L82" s="47"/>
      <c r="M82" s="47"/>
      <c r="N82" s="47"/>
    </row>
    <row r="83" spans="1:14" ht="13.15" customHeight="1" thickBot="1" x14ac:dyDescent="0.3">
      <c r="A83" s="138"/>
      <c r="C83" s="138"/>
      <c r="D83" s="138"/>
      <c r="E83" s="83"/>
      <c r="F83" s="162"/>
      <c r="G83" s="163"/>
      <c r="H83" s="90"/>
      <c r="I83" s="83"/>
      <c r="L83" s="47"/>
      <c r="M83" s="47"/>
      <c r="N83" s="47"/>
    </row>
    <row r="84" spans="1:14" ht="15.75" x14ac:dyDescent="0.25">
      <c r="A84" s="30"/>
      <c r="C84" s="166" t="s">
        <v>209</v>
      </c>
      <c r="D84" s="166" t="s">
        <v>107</v>
      </c>
      <c r="E84" s="167" t="s">
        <v>108</v>
      </c>
      <c r="F84" s="167" t="s">
        <v>109</v>
      </c>
      <c r="G84" s="167" t="s">
        <v>110</v>
      </c>
      <c r="H84" s="167" t="s">
        <v>111</v>
      </c>
      <c r="I84" s="168" t="s">
        <v>112</v>
      </c>
      <c r="L84" s="47"/>
      <c r="M84" s="47"/>
      <c r="N84" s="47"/>
    </row>
    <row r="85" spans="1:14" ht="26.25" thickBot="1" x14ac:dyDescent="0.3">
      <c r="A85" s="30"/>
      <c r="C85" s="169" t="s">
        <v>210</v>
      </c>
      <c r="D85" s="48" t="s">
        <v>211</v>
      </c>
      <c r="E85" s="170">
        <f>IF(E13="Community",0,IF(E13="Standard",250,IF(E13="PRO",500,IF(E13="Advanced",1000,IF(E13="Enterprise",2000)))))</f>
        <v>250</v>
      </c>
      <c r="F85" s="170">
        <f>IF(F13="Community",0,IF(F13="Standard",250,IF(F13="PRO",500,IF(F13="Advanced",1000,IF(F13="Enterprise",2000)))))</f>
        <v>500</v>
      </c>
      <c r="G85" s="170">
        <f>IF(G13="Community",0,IF(G13="Standard",250,IF(G13="PRO",500,IF(G13="Advanced",1000,IF(G13="Enterprise",2000)))))</f>
        <v>500</v>
      </c>
      <c r="H85" s="170">
        <f>IF(H13="Community",0,IF(H13="Standard",250,IF(H13="PRO",500,IF(H13="Advanced",1000,IF(H13="Enterprise",2000)))))</f>
        <v>1000</v>
      </c>
      <c r="I85" s="170">
        <f>IF(I13="Community",0,IF(I13="Standard",250,IF(I13="PRO",500,IF(I13="Advanced",1000,IF(I13="Enterprise",2000)))))</f>
        <v>2000</v>
      </c>
      <c r="K85" s="171"/>
      <c r="L85" s="47"/>
      <c r="M85" s="47"/>
      <c r="N85" s="47"/>
    </row>
    <row r="86" spans="1:14" ht="15.75" thickBot="1" x14ac:dyDescent="0.3">
      <c r="A86" s="30"/>
      <c r="C86" s="41" t="s">
        <v>212</v>
      </c>
      <c r="D86" s="48" t="s">
        <v>213</v>
      </c>
      <c r="E86" s="170">
        <f>IF(E81&lt;=E82,0,IF(E13="Enterprise",CEILING((E81-E82)/1000,1)*250,(E81-E82)*2))</f>
        <v>102</v>
      </c>
      <c r="F86" s="170">
        <f>IF(F81&lt;=F82,0,IF(F13="Enterprise",CEILING((F81-F82)/1000,1)*250,(F81-F82)*2))</f>
        <v>0</v>
      </c>
      <c r="G86" s="170">
        <f>IF(G81&lt;=G82,0,IF(G13="Enterprise",CEILING((G81-G82)/1000,1)*250,(G81-G82)*2))</f>
        <v>506</v>
      </c>
      <c r="H86" s="170">
        <f>IF(H81&lt;=H82,0,IF(H13="Enterprise",CEILING((H81-H82)/1000,1)*250,(H81-H82)*2))</f>
        <v>1012</v>
      </c>
      <c r="I86" s="170">
        <f>IF(I81&lt;=I82,0,IF(I13="Enterprise",CEILING((I81-I82)/1000,1)*250,(I81-I82)*2))</f>
        <v>250</v>
      </c>
      <c r="L86" s="47"/>
      <c r="M86" s="47"/>
      <c r="N86" s="47"/>
    </row>
    <row r="87" spans="1:14" ht="15.75" thickBot="1" x14ac:dyDescent="0.3">
      <c r="C87" s="172" t="s">
        <v>214</v>
      </c>
      <c r="D87" s="48" t="s">
        <v>215</v>
      </c>
      <c r="E87" s="170">
        <f>E85+E86</f>
        <v>352</v>
      </c>
      <c r="F87" s="170">
        <f>F85+F86</f>
        <v>500</v>
      </c>
      <c r="G87" s="170">
        <f>G85+G86</f>
        <v>1006</v>
      </c>
      <c r="H87" s="170">
        <f>H85+H86</f>
        <v>2012</v>
      </c>
      <c r="I87" s="170">
        <f>I85+I86</f>
        <v>2250</v>
      </c>
      <c r="L87" s="47"/>
      <c r="M87" s="47"/>
      <c r="N87" s="47"/>
    </row>
    <row r="88" spans="1:14" x14ac:dyDescent="0.25">
      <c r="L88" s="47"/>
      <c r="M88" s="47"/>
      <c r="N88" s="47"/>
    </row>
    <row r="89" spans="1:14" x14ac:dyDescent="0.25">
      <c r="L89" s="47"/>
      <c r="M89" s="47"/>
      <c r="N89" s="47"/>
    </row>
    <row r="90" spans="1:14" x14ac:dyDescent="0.25">
      <c r="L90" s="47"/>
      <c r="M90" s="47"/>
      <c r="N90" s="47"/>
    </row>
    <row r="91" spans="1:14" x14ac:dyDescent="0.25">
      <c r="L91" s="47"/>
      <c r="M91" s="47"/>
      <c r="N91" s="47"/>
    </row>
    <row r="92" spans="1:14" x14ac:dyDescent="0.25">
      <c r="L92" s="47"/>
      <c r="M92" s="47"/>
      <c r="N92" s="47"/>
    </row>
    <row r="93" spans="1:14" x14ac:dyDescent="0.25">
      <c r="L93" s="47"/>
      <c r="M93" s="47"/>
      <c r="N93" s="47"/>
    </row>
    <row r="94" spans="1:14" x14ac:dyDescent="0.25">
      <c r="L94" s="47"/>
      <c r="M94" s="47"/>
      <c r="N94" s="47"/>
    </row>
    <row r="95" spans="1:14" x14ac:dyDescent="0.25">
      <c r="L95" s="47"/>
      <c r="M95" s="47"/>
      <c r="N95" s="47"/>
    </row>
    <row r="96" spans="1:14" x14ac:dyDescent="0.25">
      <c r="L96" s="47"/>
      <c r="M96" s="47"/>
      <c r="N96" s="47"/>
    </row>
  </sheetData>
  <mergeCells count="1">
    <mergeCell ref="L15:N18"/>
  </mergeCells>
  <dataValidations count="1">
    <dataValidation type="list" allowBlank="1" showInputMessage="1" showErrorMessage="1" sqref="E13:I13" xr:uid="{00000000-0002-0000-1F00-000000000000}">
      <formula1>$E$1:$E$5</formula1>
    </dataValidation>
  </dataValidation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X86"/>
  <sheetViews>
    <sheetView topLeftCell="A13" zoomScale="80" zoomScaleNormal="80" workbookViewId="0">
      <selection activeCell="O17" sqref="O17"/>
    </sheetView>
  </sheetViews>
  <sheetFormatPr defaultColWidth="10.7109375" defaultRowHeight="15" x14ac:dyDescent="0.25"/>
  <cols>
    <col min="1" max="2" width="10.7109375" style="176"/>
    <col min="3" max="3" width="27.7109375" style="176" customWidth="1"/>
    <col min="4" max="7" width="10.7109375" style="282"/>
    <col min="8" max="8" width="12.28515625" style="282" customWidth="1"/>
    <col min="9" max="9" width="34" style="282" customWidth="1"/>
    <col min="10" max="10" width="5.28515625" style="176" bestFit="1" customWidth="1"/>
    <col min="11" max="16384" width="10.7109375" style="176"/>
  </cols>
  <sheetData>
    <row r="1" spans="1:24" x14ac:dyDescent="0.25">
      <c r="A1" s="173"/>
      <c r="B1" s="18"/>
      <c r="C1" s="18"/>
      <c r="D1" s="174"/>
      <c r="E1" s="174"/>
      <c r="F1" s="174"/>
      <c r="G1" s="174"/>
      <c r="H1" s="174"/>
      <c r="I1" s="174"/>
      <c r="J1" s="20"/>
      <c r="K1" s="173"/>
      <c r="L1" s="18"/>
      <c r="M1" s="18"/>
      <c r="N1" s="19"/>
      <c r="O1" s="19"/>
      <c r="P1" s="18"/>
      <c r="Q1" s="18"/>
      <c r="R1" s="18"/>
      <c r="S1" s="18"/>
      <c r="T1" s="20"/>
      <c r="U1" s="20"/>
      <c r="V1" s="20"/>
      <c r="W1" s="20"/>
      <c r="X1" s="175"/>
    </row>
    <row r="2" spans="1:24" ht="18.75" x14ac:dyDescent="0.3">
      <c r="A2" s="177"/>
      <c r="B2" s="20"/>
      <c r="C2" s="20"/>
      <c r="D2" s="178"/>
      <c r="E2" s="178"/>
      <c r="F2" s="178"/>
      <c r="G2" s="178"/>
      <c r="H2" s="178"/>
      <c r="I2" s="179" t="s">
        <v>218</v>
      </c>
      <c r="J2" s="20"/>
      <c r="K2" s="177"/>
      <c r="L2" s="20"/>
      <c r="M2" s="20"/>
      <c r="N2" s="23"/>
      <c r="O2" s="23"/>
      <c r="P2" s="20"/>
      <c r="Q2" s="20"/>
      <c r="R2" s="20"/>
      <c r="S2" s="15"/>
      <c r="T2" s="15"/>
      <c r="U2" s="20"/>
      <c r="V2" s="20"/>
      <c r="W2" s="20"/>
      <c r="X2" s="175"/>
    </row>
    <row r="3" spans="1:24" x14ac:dyDescent="0.25">
      <c r="A3" s="180"/>
      <c r="B3" s="181"/>
      <c r="C3" s="181"/>
      <c r="D3" s="182"/>
      <c r="E3" s="182"/>
      <c r="F3" s="182"/>
      <c r="G3" s="182"/>
      <c r="H3" s="182"/>
      <c r="I3" s="182"/>
      <c r="J3" s="181"/>
      <c r="K3" s="180"/>
      <c r="L3" s="181"/>
      <c r="M3" s="181"/>
      <c r="N3" s="181"/>
      <c r="O3" s="183"/>
      <c r="P3" s="181"/>
      <c r="Q3" s="181"/>
      <c r="R3" s="181"/>
      <c r="S3" s="184"/>
      <c r="T3" s="184"/>
      <c r="U3" s="184"/>
      <c r="V3" s="184"/>
      <c r="W3" s="184"/>
      <c r="X3" s="185"/>
    </row>
    <row r="4" spans="1:24" x14ac:dyDescent="0.25">
      <c r="A4" s="186"/>
      <c r="B4" s="20"/>
      <c r="C4" s="20"/>
      <c r="D4" s="178"/>
      <c r="E4" s="178"/>
      <c r="F4" s="187"/>
      <c r="G4" s="178"/>
      <c r="H4" s="178"/>
      <c r="I4" s="178"/>
      <c r="J4" s="20"/>
      <c r="K4" s="186"/>
      <c r="L4" s="20"/>
      <c r="M4" s="20"/>
      <c r="N4" s="20"/>
      <c r="O4" s="20"/>
      <c r="P4" s="20"/>
      <c r="Q4" s="20"/>
      <c r="R4" s="20"/>
      <c r="S4" s="188"/>
      <c r="T4" s="188"/>
      <c r="U4" s="188"/>
      <c r="V4" s="188"/>
      <c r="W4" s="188"/>
      <c r="X4" s="189"/>
    </row>
    <row r="5" spans="1:24" ht="18.75" x14ac:dyDescent="0.25">
      <c r="A5" s="190"/>
      <c r="B5" s="191" t="s">
        <v>219</v>
      </c>
      <c r="C5" s="192"/>
      <c r="D5" s="193"/>
      <c r="E5" s="193"/>
      <c r="F5" s="193"/>
      <c r="G5" s="193"/>
      <c r="H5" s="193"/>
      <c r="I5" s="193"/>
      <c r="J5" s="15"/>
      <c r="K5" s="190"/>
      <c r="L5" s="15"/>
      <c r="M5" s="35"/>
      <c r="N5" s="35"/>
      <c r="O5" s="35"/>
      <c r="P5" s="35"/>
      <c r="Q5" s="35"/>
      <c r="R5" s="35"/>
      <c r="S5" s="35"/>
      <c r="T5" s="35"/>
      <c r="U5" s="35"/>
      <c r="V5" s="35"/>
      <c r="W5" s="35"/>
      <c r="X5" s="194"/>
    </row>
    <row r="6" spans="1:24" ht="15.75" thickBot="1" x14ac:dyDescent="0.3">
      <c r="A6" s="190"/>
      <c r="B6" s="15"/>
      <c r="C6" s="195"/>
      <c r="D6" s="193"/>
      <c r="E6" s="193"/>
      <c r="F6" s="193"/>
      <c r="G6" s="193"/>
      <c r="H6" s="193"/>
      <c r="I6" s="193"/>
      <c r="J6" s="15"/>
      <c r="K6" s="190"/>
      <c r="L6" s="15"/>
      <c r="M6" s="35"/>
      <c r="N6" s="35"/>
      <c r="O6" s="35"/>
      <c r="P6" s="35"/>
      <c r="Q6" s="35"/>
      <c r="R6" s="35"/>
      <c r="S6" s="35"/>
      <c r="T6" s="35"/>
      <c r="U6" s="35"/>
      <c r="V6" s="35"/>
      <c r="W6" s="35"/>
      <c r="X6" s="194"/>
    </row>
    <row r="7" spans="1:24" x14ac:dyDescent="0.25">
      <c r="A7" s="196"/>
      <c r="B7" s="197" t="s">
        <v>220</v>
      </c>
      <c r="C7" s="198"/>
      <c r="D7" s="199" t="s">
        <v>108</v>
      </c>
      <c r="E7" s="199" t="s">
        <v>109</v>
      </c>
      <c r="F7" s="199" t="s">
        <v>110</v>
      </c>
      <c r="G7" s="199" t="s">
        <v>111</v>
      </c>
      <c r="H7" s="199" t="s">
        <v>112</v>
      </c>
      <c r="I7" s="200" t="s">
        <v>221</v>
      </c>
      <c r="J7" s="15"/>
      <c r="K7" s="196"/>
      <c r="L7" s="15"/>
      <c r="M7" s="35"/>
      <c r="N7" s="35"/>
      <c r="O7" s="35"/>
      <c r="P7" s="35"/>
      <c r="Q7" s="35"/>
      <c r="R7" s="35"/>
      <c r="S7" s="65"/>
      <c r="T7" s="65"/>
      <c r="U7" s="35"/>
      <c r="V7" s="35"/>
      <c r="W7" s="35"/>
      <c r="X7" s="194"/>
    </row>
    <row r="8" spans="1:24" x14ac:dyDescent="0.25">
      <c r="A8" s="190"/>
      <c r="B8" s="201" t="s">
        <v>222</v>
      </c>
      <c r="C8" s="202"/>
      <c r="D8" s="203"/>
      <c r="E8" s="203"/>
      <c r="F8" s="203"/>
      <c r="G8" s="203"/>
      <c r="H8" s="204"/>
      <c r="I8" s="205"/>
      <c r="J8" s="15"/>
      <c r="K8" s="190"/>
      <c r="L8" s="15"/>
      <c r="M8" s="35"/>
      <c r="N8" s="35"/>
      <c r="O8" s="35"/>
      <c r="P8" s="35"/>
      <c r="Q8" s="35"/>
      <c r="R8" s="35"/>
      <c r="S8" s="65"/>
      <c r="T8" s="65"/>
      <c r="U8" s="35"/>
      <c r="V8" s="35"/>
      <c r="W8" s="35"/>
      <c r="X8" s="194"/>
    </row>
    <row r="9" spans="1:24" x14ac:dyDescent="0.25">
      <c r="A9" s="190"/>
      <c r="B9" s="206" t="s">
        <v>223</v>
      </c>
      <c r="C9" s="207"/>
      <c r="D9" s="208">
        <v>1200</v>
      </c>
      <c r="E9" s="208">
        <v>2616.0000000000005</v>
      </c>
      <c r="F9" s="208">
        <v>7128.6</v>
      </c>
      <c r="G9" s="208">
        <v>15540.348000000002</v>
      </c>
      <c r="H9" s="208">
        <v>42347.448300000004</v>
      </c>
      <c r="I9" s="209">
        <f t="shared" ref="I9:I23" si="0">SUM(D9:H9)</f>
        <v>68832.396300000008</v>
      </c>
      <c r="J9" s="15"/>
      <c r="K9" s="190"/>
      <c r="L9" s="15"/>
      <c r="M9" s="35"/>
      <c r="N9" s="35"/>
      <c r="O9" s="35"/>
      <c r="P9" s="35"/>
      <c r="Q9" s="35"/>
      <c r="R9" s="35"/>
      <c r="S9" s="65"/>
      <c r="T9" s="65"/>
      <c r="U9" s="35"/>
      <c r="V9" s="35"/>
      <c r="W9" s="35"/>
      <c r="X9" s="194"/>
    </row>
    <row r="10" spans="1:24" x14ac:dyDescent="0.25">
      <c r="A10" s="190"/>
      <c r="B10" s="206" t="s">
        <v>224</v>
      </c>
      <c r="C10" s="210"/>
      <c r="D10" s="211">
        <v>2419.2000000000003</v>
      </c>
      <c r="E10" s="211">
        <v>5273.8560000000007</v>
      </c>
      <c r="F10" s="211">
        <v>14371.257600000003</v>
      </c>
      <c r="G10" s="211">
        <v>31329.341568000003</v>
      </c>
      <c r="H10" s="211">
        <v>85372.455772800022</v>
      </c>
      <c r="I10" s="209">
        <f t="shared" si="0"/>
        <v>138766.11094080002</v>
      </c>
      <c r="J10" s="15"/>
      <c r="K10" s="190"/>
      <c r="L10" s="15"/>
      <c r="M10" s="35"/>
      <c r="N10" s="35"/>
      <c r="O10" s="35"/>
      <c r="P10" s="35"/>
      <c r="Q10" s="35"/>
      <c r="R10" s="35"/>
      <c r="S10" s="65"/>
      <c r="T10" s="65"/>
      <c r="U10" s="35"/>
      <c r="V10" s="35"/>
      <c r="W10" s="35"/>
      <c r="X10" s="194"/>
    </row>
    <row r="11" spans="1:24" x14ac:dyDescent="0.25">
      <c r="A11" s="190"/>
      <c r="B11" s="212" t="s">
        <v>225</v>
      </c>
      <c r="C11" s="213"/>
      <c r="D11" s="214">
        <f>SUM(D12:D19)</f>
        <v>2439</v>
      </c>
      <c r="E11" s="214">
        <f>SUM(E12:E19)</f>
        <v>3716.8128000000006</v>
      </c>
      <c r="F11" s="214">
        <f>SUM(F12:F19)</f>
        <v>11000.427804000003</v>
      </c>
      <c r="G11" s="214">
        <f>SUM(G12:G19)</f>
        <v>22079.726438400005</v>
      </c>
      <c r="H11" s="214">
        <f>SUM(H12:H19)</f>
        <v>65348.041369662009</v>
      </c>
      <c r="I11" s="215">
        <f t="shared" si="0"/>
        <v>104584.00841206202</v>
      </c>
      <c r="J11" s="15"/>
      <c r="K11" s="190"/>
      <c r="L11" s="15"/>
      <c r="M11" s="35"/>
      <c r="N11" s="35"/>
      <c r="O11" s="35"/>
      <c r="P11" s="35"/>
      <c r="Q11" s="35"/>
      <c r="R11" s="35"/>
      <c r="S11" s="65"/>
      <c r="T11" s="65"/>
      <c r="U11" s="35"/>
      <c r="V11" s="35"/>
      <c r="W11" s="35"/>
      <c r="X11" s="194"/>
    </row>
    <row r="12" spans="1:24" x14ac:dyDescent="0.25">
      <c r="A12" s="190"/>
      <c r="B12" s="216" t="s">
        <v>226</v>
      </c>
      <c r="C12" s="217"/>
      <c r="D12" s="218">
        <v>800</v>
      </c>
      <c r="E12" s="218">
        <v>1744.0000000000002</v>
      </c>
      <c r="F12" s="218">
        <v>4752.4000000000005</v>
      </c>
      <c r="G12" s="218">
        <v>10360.232000000002</v>
      </c>
      <c r="H12" s="218">
        <v>28231.632200000004</v>
      </c>
      <c r="I12" s="219">
        <f t="shared" si="0"/>
        <v>45888.264200000005</v>
      </c>
      <c r="J12" s="15"/>
      <c r="K12" s="190"/>
      <c r="L12" s="15"/>
      <c r="M12" s="35"/>
      <c r="N12" s="35"/>
      <c r="O12" s="35"/>
      <c r="P12" s="35"/>
      <c r="Q12" s="35"/>
      <c r="R12" s="35"/>
      <c r="S12" s="65"/>
      <c r="T12" s="65"/>
      <c r="U12" s="35"/>
      <c r="V12" s="35"/>
      <c r="W12" s="35"/>
      <c r="X12" s="194"/>
    </row>
    <row r="13" spans="1:24" x14ac:dyDescent="0.25">
      <c r="A13" s="190"/>
      <c r="B13" s="216" t="s">
        <v>227</v>
      </c>
      <c r="C13" s="217"/>
      <c r="D13" s="218">
        <v>3</v>
      </c>
      <c r="E13" s="218">
        <v>6.5400000000000009</v>
      </c>
      <c r="F13" s="218">
        <v>17.821500000000004</v>
      </c>
      <c r="G13" s="218">
        <v>38.850870000000008</v>
      </c>
      <c r="H13" s="218">
        <v>105.86862075000002</v>
      </c>
      <c r="I13" s="219">
        <f t="shared" si="0"/>
        <v>172.08099075000004</v>
      </c>
      <c r="J13" s="15"/>
      <c r="K13" s="190"/>
      <c r="L13" s="15"/>
      <c r="M13" s="35"/>
      <c r="N13" s="35"/>
      <c r="O13" s="35"/>
      <c r="P13" s="35"/>
      <c r="Q13" s="35"/>
      <c r="R13" s="35"/>
      <c r="S13" s="65"/>
      <c r="T13" s="65"/>
      <c r="U13" s="35"/>
      <c r="V13" s="35"/>
      <c r="W13" s="35"/>
      <c r="X13" s="194"/>
    </row>
    <row r="14" spans="1:24" x14ac:dyDescent="0.25">
      <c r="A14" s="190"/>
      <c r="B14" s="216" t="s">
        <v>228</v>
      </c>
      <c r="C14" s="217"/>
      <c r="D14" s="218">
        <v>4.8000000000000007</v>
      </c>
      <c r="E14" s="218">
        <v>10.464000000000002</v>
      </c>
      <c r="F14" s="218">
        <v>28.514400000000002</v>
      </c>
      <c r="G14" s="218">
        <v>62.161392000000006</v>
      </c>
      <c r="H14" s="218">
        <v>169.38979320000004</v>
      </c>
      <c r="I14" s="219">
        <f t="shared" si="0"/>
        <v>275.32958520000005</v>
      </c>
      <c r="J14" s="15"/>
      <c r="K14" s="190"/>
      <c r="L14" s="15"/>
      <c r="M14" s="35"/>
      <c r="N14" s="35"/>
      <c r="O14" s="35"/>
      <c r="P14" s="35"/>
      <c r="Q14" s="35"/>
      <c r="R14" s="35"/>
      <c r="S14" s="65"/>
      <c r="T14" s="65"/>
      <c r="U14" s="35"/>
      <c r="V14" s="35"/>
      <c r="W14" s="35"/>
      <c r="X14" s="194"/>
    </row>
    <row r="15" spans="1:24" x14ac:dyDescent="0.25">
      <c r="A15" s="190"/>
      <c r="B15" s="220" t="s">
        <v>229</v>
      </c>
      <c r="C15" s="217"/>
      <c r="D15" s="218">
        <v>0</v>
      </c>
      <c r="E15" s="218">
        <v>0</v>
      </c>
      <c r="F15" s="218">
        <v>0</v>
      </c>
      <c r="G15" s="218">
        <v>0</v>
      </c>
      <c r="H15" s="218">
        <v>0</v>
      </c>
      <c r="I15" s="219"/>
      <c r="J15" s="15"/>
      <c r="K15" s="190"/>
      <c r="L15" s="15"/>
      <c r="M15" s="35"/>
      <c r="N15" s="35"/>
      <c r="O15" s="35"/>
      <c r="P15" s="35"/>
      <c r="Q15" s="35"/>
      <c r="R15" s="35"/>
      <c r="S15" s="65"/>
      <c r="T15" s="65"/>
      <c r="U15" s="35"/>
      <c r="V15" s="35"/>
      <c r="W15" s="35"/>
      <c r="X15" s="194"/>
    </row>
    <row r="16" spans="1:24" x14ac:dyDescent="0.25">
      <c r="A16" s="190"/>
      <c r="B16" s="216" t="s">
        <v>230</v>
      </c>
      <c r="C16" s="217"/>
      <c r="D16" s="218">
        <v>1600</v>
      </c>
      <c r="E16" s="218">
        <v>1918.4</v>
      </c>
      <c r="F16" s="218">
        <v>6083.072000000001</v>
      </c>
      <c r="G16" s="218">
        <v>11396.255200000001</v>
      </c>
      <c r="H16" s="218">
        <v>36136.489216000009</v>
      </c>
      <c r="I16" s="219">
        <f t="shared" si="0"/>
        <v>57134.21641600001</v>
      </c>
      <c r="J16" s="15"/>
      <c r="K16" s="190"/>
      <c r="L16" s="15"/>
      <c r="M16" s="35"/>
      <c r="N16" s="35"/>
      <c r="O16" s="35"/>
      <c r="P16" s="35"/>
      <c r="Q16" s="35"/>
      <c r="R16" s="35"/>
      <c r="S16" s="65"/>
      <c r="T16" s="65"/>
      <c r="U16" s="35"/>
      <c r="V16" s="35"/>
      <c r="W16" s="35"/>
      <c r="X16" s="194"/>
    </row>
    <row r="17" spans="1:24" x14ac:dyDescent="0.25">
      <c r="A17" s="190"/>
      <c r="B17" s="216" t="s">
        <v>231</v>
      </c>
      <c r="C17" s="217"/>
      <c r="D17" s="218">
        <v>12</v>
      </c>
      <c r="E17" s="218">
        <v>14.388000000000002</v>
      </c>
      <c r="F17" s="218">
        <v>45.623040000000003</v>
      </c>
      <c r="G17" s="218">
        <v>85.471914000000012</v>
      </c>
      <c r="H17" s="218">
        <v>271.02366912000002</v>
      </c>
      <c r="I17" s="219">
        <f t="shared" si="0"/>
        <v>428.50662312000003</v>
      </c>
      <c r="J17" s="15"/>
      <c r="K17" s="190"/>
      <c r="L17" s="15"/>
      <c r="M17" s="35"/>
      <c r="N17" s="35"/>
      <c r="O17" s="35"/>
      <c r="P17" s="35"/>
      <c r="Q17" s="35"/>
      <c r="R17" s="35"/>
      <c r="S17" s="65"/>
      <c r="T17" s="65"/>
      <c r="U17" s="35"/>
      <c r="V17" s="35"/>
      <c r="W17" s="35"/>
      <c r="X17" s="194"/>
    </row>
    <row r="18" spans="1:24" x14ac:dyDescent="0.25">
      <c r="A18" s="190"/>
      <c r="B18" s="216" t="s">
        <v>232</v>
      </c>
      <c r="C18" s="217"/>
      <c r="D18" s="218">
        <v>19.200000000000003</v>
      </c>
      <c r="E18" s="218">
        <v>23.020800000000008</v>
      </c>
      <c r="F18" s="218">
        <v>72.996864000000002</v>
      </c>
      <c r="G18" s="218">
        <v>136.75506240000004</v>
      </c>
      <c r="H18" s="218">
        <v>433.63787059200013</v>
      </c>
      <c r="I18" s="219">
        <f>SUM(D18:H18)</f>
        <v>685.61059699200018</v>
      </c>
      <c r="J18" s="15"/>
      <c r="K18" s="190"/>
      <c r="L18" s="15"/>
      <c r="M18" s="35"/>
      <c r="N18" s="35"/>
      <c r="O18" s="35"/>
      <c r="P18" s="35"/>
      <c r="Q18" s="35"/>
      <c r="R18" s="35"/>
      <c r="S18" s="65"/>
      <c r="T18" s="65"/>
      <c r="U18" s="35"/>
      <c r="V18" s="35"/>
      <c r="W18" s="35"/>
      <c r="X18" s="194"/>
    </row>
    <row r="19" spans="1:24" x14ac:dyDescent="0.25">
      <c r="A19" s="190"/>
      <c r="B19" s="221" t="s">
        <v>233</v>
      </c>
      <c r="C19" s="222"/>
      <c r="D19" s="223">
        <v>0</v>
      </c>
      <c r="E19" s="223">
        <v>0</v>
      </c>
      <c r="F19" s="223">
        <v>0</v>
      </c>
      <c r="G19" s="223">
        <v>0</v>
      </c>
      <c r="H19" s="223">
        <v>0</v>
      </c>
      <c r="I19" s="224">
        <f>SUM(D19:H19)</f>
        <v>0</v>
      </c>
      <c r="J19" s="15"/>
      <c r="K19" s="190"/>
      <c r="L19" s="15"/>
      <c r="M19" s="35"/>
      <c r="N19" s="35"/>
      <c r="O19" s="35"/>
      <c r="P19" s="35"/>
      <c r="Q19" s="35"/>
      <c r="R19" s="35"/>
      <c r="S19" s="65"/>
      <c r="T19" s="65"/>
      <c r="U19" s="35"/>
      <c r="V19" s="35"/>
      <c r="W19" s="35"/>
      <c r="X19" s="194"/>
    </row>
    <row r="20" spans="1:24" x14ac:dyDescent="0.25">
      <c r="A20" s="190"/>
      <c r="B20" s="225" t="s">
        <v>234</v>
      </c>
      <c r="C20" s="226"/>
      <c r="D20" s="227">
        <v>300</v>
      </c>
      <c r="E20" s="227">
        <v>327</v>
      </c>
      <c r="F20" s="227">
        <v>356.43000000000006</v>
      </c>
      <c r="G20" s="227">
        <v>388.50870000000009</v>
      </c>
      <c r="H20" s="227">
        <v>423.47448300000008</v>
      </c>
      <c r="I20" s="228">
        <f t="shared" si="0"/>
        <v>1795.4131830000001</v>
      </c>
      <c r="J20" s="15"/>
      <c r="K20" s="190"/>
      <c r="L20" s="15"/>
      <c r="M20" s="35"/>
      <c r="N20" s="35"/>
      <c r="O20" s="35"/>
      <c r="P20" s="35"/>
      <c r="Q20" s="35"/>
      <c r="R20" s="35"/>
      <c r="S20" s="65"/>
      <c r="T20" s="65"/>
      <c r="U20" s="35"/>
      <c r="V20" s="35"/>
      <c r="W20" s="35"/>
      <c r="X20" s="194"/>
    </row>
    <row r="21" spans="1:24" x14ac:dyDescent="0.25">
      <c r="A21" s="190"/>
      <c r="B21" s="225" t="s">
        <v>235</v>
      </c>
      <c r="C21" s="226"/>
      <c r="D21" s="227">
        <v>4224</v>
      </c>
      <c r="E21" s="227">
        <v>6000</v>
      </c>
      <c r="F21" s="227">
        <v>12072</v>
      </c>
      <c r="G21" s="227">
        <v>24144</v>
      </c>
      <c r="H21" s="227">
        <v>27000</v>
      </c>
      <c r="I21" s="229">
        <f t="shared" si="0"/>
        <v>73440</v>
      </c>
      <c r="J21" s="15"/>
      <c r="K21" s="190"/>
      <c r="L21" s="15"/>
      <c r="M21" s="35"/>
      <c r="N21" s="35"/>
      <c r="O21" s="35"/>
      <c r="P21" s="35"/>
      <c r="Q21" s="35"/>
      <c r="R21" s="35"/>
      <c r="S21" s="65"/>
      <c r="T21" s="65"/>
      <c r="U21" s="35"/>
      <c r="V21" s="35"/>
      <c r="W21" s="35"/>
      <c r="X21" s="194"/>
    </row>
    <row r="22" spans="1:24" x14ac:dyDescent="0.25">
      <c r="A22" s="190"/>
      <c r="B22" s="212"/>
      <c r="C22" s="213"/>
      <c r="D22" s="230"/>
      <c r="E22" s="230"/>
      <c r="F22" s="230"/>
      <c r="G22" s="230"/>
      <c r="H22" s="230"/>
      <c r="I22" s="231"/>
      <c r="J22" s="15"/>
      <c r="K22" s="190"/>
      <c r="L22" s="15"/>
      <c r="M22" s="35"/>
      <c r="N22" s="35"/>
      <c r="O22" s="35"/>
      <c r="P22" s="35"/>
      <c r="Q22" s="35"/>
      <c r="R22" s="35"/>
      <c r="S22" s="65"/>
      <c r="T22" s="65"/>
      <c r="U22" s="35"/>
      <c r="V22" s="35"/>
      <c r="W22" s="35"/>
      <c r="X22" s="194"/>
    </row>
    <row r="23" spans="1:24" ht="15.75" thickBot="1" x14ac:dyDescent="0.3">
      <c r="A23" s="190"/>
      <c r="B23" s="232" t="s">
        <v>236</v>
      </c>
      <c r="C23" s="233"/>
      <c r="D23" s="234">
        <f>SUM(D20:D22,D11,D9:D10)</f>
        <v>10582.2</v>
      </c>
      <c r="E23" s="234">
        <f>SUM(E20:E22,E11,E9:E10)</f>
        <v>17933.668799999999</v>
      </c>
      <c r="F23" s="234">
        <f>SUM(F20:F22,F11,F9:F10)</f>
        <v>44928.71540400001</v>
      </c>
      <c r="G23" s="234">
        <f>SUM(G20:G22,G11,G9:G10)</f>
        <v>93481.924706400008</v>
      </c>
      <c r="H23" s="234">
        <f>SUM(H20:H22,H11,H9:H10)</f>
        <v>220491.41992546205</v>
      </c>
      <c r="I23" s="235">
        <f t="shared" si="0"/>
        <v>387417.92883586208</v>
      </c>
      <c r="J23" s="15"/>
      <c r="K23" s="190"/>
      <c r="L23" s="15"/>
      <c r="M23" s="35"/>
      <c r="N23" s="35"/>
      <c r="O23" s="35"/>
      <c r="P23" s="35"/>
      <c r="Q23" s="35"/>
      <c r="R23" s="35"/>
      <c r="S23" s="65"/>
      <c r="T23" s="65"/>
      <c r="U23" s="35"/>
      <c r="V23" s="35"/>
      <c r="W23" s="35"/>
      <c r="X23" s="194"/>
    </row>
    <row r="24" spans="1:24" ht="15.75" thickTop="1" x14ac:dyDescent="0.25">
      <c r="A24" s="190"/>
      <c r="B24" s="236"/>
      <c r="C24" s="237"/>
      <c r="D24" s="238"/>
      <c r="E24" s="239"/>
      <c r="F24" s="239"/>
      <c r="G24" s="239"/>
      <c r="H24" s="239"/>
      <c r="I24" s="240"/>
      <c r="J24" s="15"/>
      <c r="K24" s="190"/>
      <c r="L24" s="15"/>
      <c r="M24" s="35"/>
      <c r="N24" s="35"/>
      <c r="O24" s="35"/>
      <c r="P24" s="35"/>
      <c r="Q24" s="35"/>
      <c r="R24" s="35"/>
      <c r="S24" s="65"/>
      <c r="T24" s="65"/>
      <c r="U24" s="35"/>
      <c r="V24" s="35"/>
      <c r="W24" s="35"/>
      <c r="X24" s="194"/>
    </row>
    <row r="25" spans="1:24" x14ac:dyDescent="0.25">
      <c r="A25" s="190"/>
      <c r="B25" s="201" t="s">
        <v>237</v>
      </c>
      <c r="C25" s="202"/>
      <c r="D25" s="241"/>
      <c r="E25" s="241"/>
      <c r="F25" s="241"/>
      <c r="G25" s="241"/>
      <c r="H25" s="241"/>
      <c r="I25" s="242"/>
      <c r="J25" s="15"/>
      <c r="K25" s="190"/>
      <c r="L25" s="15"/>
      <c r="M25" s="35"/>
      <c r="N25" s="35"/>
      <c r="O25" s="35"/>
      <c r="P25" s="35"/>
      <c r="Q25" s="35"/>
      <c r="R25" s="35"/>
      <c r="S25" s="35"/>
      <c r="T25" s="35"/>
      <c r="U25" s="35"/>
      <c r="V25" s="35"/>
      <c r="W25" s="35"/>
      <c r="X25" s="194"/>
    </row>
    <row r="26" spans="1:24" x14ac:dyDescent="0.25">
      <c r="A26" s="190"/>
      <c r="B26" s="206" t="s">
        <v>1354</v>
      </c>
      <c r="C26" s="207"/>
      <c r="D26" s="243">
        <v>9500</v>
      </c>
      <c r="E26" s="243">
        <v>11494.050000000001</v>
      </c>
      <c r="F26" s="243">
        <v>36343.979000000007</v>
      </c>
      <c r="G26" s="243">
        <v>68034.348515000005</v>
      </c>
      <c r="H26" s="243">
        <v>215767.30699655003</v>
      </c>
      <c r="I26" s="231">
        <f t="shared" ref="I26:I32" si="1">SUM(D26:H26)</f>
        <v>341139.68451155006</v>
      </c>
      <c r="J26" s="15"/>
      <c r="K26" s="190"/>
      <c r="L26" s="15"/>
      <c r="M26" s="35"/>
      <c r="N26" s="35"/>
      <c r="O26" s="35"/>
      <c r="P26" s="35"/>
      <c r="Q26" s="35"/>
      <c r="R26" s="35"/>
      <c r="S26" s="35"/>
      <c r="T26" s="35"/>
      <c r="U26" s="35"/>
      <c r="V26" s="35"/>
      <c r="W26" s="35"/>
      <c r="X26" s="194"/>
    </row>
    <row r="27" spans="1:24" x14ac:dyDescent="0.25">
      <c r="A27" s="190"/>
      <c r="B27" s="206" t="s">
        <v>188</v>
      </c>
      <c r="C27" s="207"/>
      <c r="D27" s="243">
        <v>20000</v>
      </c>
      <c r="E27" s="243">
        <v>23980</v>
      </c>
      <c r="F27" s="243">
        <v>76038.400000000009</v>
      </c>
      <c r="G27" s="243">
        <v>142453.19000000003</v>
      </c>
      <c r="H27" s="243">
        <v>451706.11520000006</v>
      </c>
      <c r="I27" s="231">
        <f t="shared" si="1"/>
        <v>714177.70520000008</v>
      </c>
      <c r="J27" s="15"/>
      <c r="K27" s="190"/>
      <c r="L27" s="15"/>
      <c r="M27" s="35"/>
      <c r="N27" s="35"/>
      <c r="O27" s="35"/>
      <c r="P27" s="35"/>
      <c r="Q27" s="35"/>
      <c r="R27" s="35"/>
      <c r="S27" s="35"/>
      <c r="T27" s="35"/>
      <c r="U27" s="35"/>
      <c r="V27" s="35"/>
      <c r="W27" s="35"/>
      <c r="X27" s="194"/>
    </row>
    <row r="28" spans="1:24" x14ac:dyDescent="0.25">
      <c r="A28" s="190"/>
      <c r="B28" s="206" t="s">
        <v>238</v>
      </c>
      <c r="C28" s="207"/>
      <c r="D28" s="243">
        <v>0</v>
      </c>
      <c r="E28" s="243">
        <v>0</v>
      </c>
      <c r="F28" s="243">
        <v>0</v>
      </c>
      <c r="G28" s="243">
        <v>0</v>
      </c>
      <c r="H28" s="243">
        <v>0</v>
      </c>
      <c r="I28" s="231">
        <f t="shared" si="1"/>
        <v>0</v>
      </c>
      <c r="J28" s="15"/>
      <c r="K28" s="190"/>
      <c r="L28" s="15"/>
      <c r="M28" s="35"/>
      <c r="N28" s="35"/>
      <c r="O28" s="35"/>
      <c r="P28" s="35"/>
      <c r="Q28" s="35"/>
      <c r="R28" s="35"/>
      <c r="S28" s="35"/>
      <c r="T28" s="35"/>
      <c r="U28" s="35"/>
      <c r="V28" s="35"/>
      <c r="W28" s="35"/>
      <c r="X28" s="194"/>
    </row>
    <row r="29" spans="1:24" x14ac:dyDescent="0.25">
      <c r="A29" s="190"/>
      <c r="B29" s="244" t="s">
        <v>239</v>
      </c>
      <c r="C29" s="207"/>
      <c r="D29" s="243">
        <v>0</v>
      </c>
      <c r="E29" s="243">
        <v>0</v>
      </c>
      <c r="F29" s="243">
        <v>0</v>
      </c>
      <c r="G29" s="243">
        <v>0</v>
      </c>
      <c r="H29" s="243">
        <v>0</v>
      </c>
      <c r="I29" s="231">
        <f t="shared" si="1"/>
        <v>0</v>
      </c>
      <c r="J29" s="15"/>
      <c r="K29" s="190"/>
      <c r="L29" s="15"/>
      <c r="M29" s="35"/>
      <c r="N29" s="35"/>
      <c r="O29" s="35"/>
      <c r="P29" s="35"/>
      <c r="Q29" s="35"/>
      <c r="R29" s="35"/>
      <c r="S29" s="35"/>
      <c r="T29" s="35"/>
      <c r="U29" s="35"/>
      <c r="V29" s="35"/>
      <c r="W29" s="35"/>
      <c r="X29" s="194"/>
    </row>
    <row r="30" spans="1:24" x14ac:dyDescent="0.25">
      <c r="A30" s="190"/>
      <c r="B30" s="245" t="s">
        <v>240</v>
      </c>
      <c r="C30" s="207"/>
      <c r="D30" s="243">
        <v>0</v>
      </c>
      <c r="E30" s="243">
        <v>0</v>
      </c>
      <c r="F30" s="243">
        <v>0</v>
      </c>
      <c r="G30" s="243">
        <v>0</v>
      </c>
      <c r="H30" s="243">
        <v>0</v>
      </c>
      <c r="I30" s="231"/>
      <c r="J30" s="15"/>
      <c r="K30" s="190"/>
      <c r="L30" s="15"/>
      <c r="M30" s="35"/>
      <c r="N30" s="35"/>
      <c r="O30" s="35"/>
      <c r="P30" s="35"/>
      <c r="Q30" s="35"/>
      <c r="R30" s="35"/>
      <c r="S30" s="35"/>
      <c r="T30" s="35"/>
      <c r="U30" s="35"/>
      <c r="V30" s="35"/>
      <c r="W30" s="35"/>
      <c r="X30" s="194"/>
    </row>
    <row r="31" spans="1:24" x14ac:dyDescent="0.25">
      <c r="A31" s="190"/>
      <c r="B31" s="244" t="s">
        <v>234</v>
      </c>
      <c r="C31" s="207"/>
      <c r="D31" s="243">
        <v>198</v>
      </c>
      <c r="E31" s="243">
        <v>32.373000000000005</v>
      </c>
      <c r="F31" s="243">
        <v>35.286570000000005</v>
      </c>
      <c r="G31" s="243">
        <v>38.462361300000005</v>
      </c>
      <c r="H31" s="243">
        <v>41.923973817000004</v>
      </c>
      <c r="I31" s="231">
        <f t="shared" si="1"/>
        <v>346.04590511699996</v>
      </c>
      <c r="J31" s="15"/>
      <c r="K31" s="190"/>
      <c r="L31" s="15"/>
      <c r="M31" s="35"/>
      <c r="N31" s="35"/>
      <c r="O31" s="35"/>
      <c r="P31" s="35"/>
      <c r="Q31" s="35"/>
      <c r="R31" s="35"/>
      <c r="S31" s="35"/>
      <c r="T31" s="35"/>
      <c r="U31" s="35"/>
      <c r="V31" s="35"/>
      <c r="W31" s="35"/>
      <c r="X31" s="194"/>
    </row>
    <row r="32" spans="1:24" ht="15.75" thickBot="1" x14ac:dyDescent="0.3">
      <c r="A32" s="190"/>
      <c r="B32" s="232" t="s">
        <v>241</v>
      </c>
      <c r="C32" s="233"/>
      <c r="D32" s="246">
        <f>SUM(D26:D31)</f>
        <v>29698</v>
      </c>
      <c r="E32" s="246">
        <f>SUM(E26:E31)</f>
        <v>35506.423000000003</v>
      </c>
      <c r="F32" s="246">
        <f>SUM(F26:F31)</f>
        <v>112417.66557000001</v>
      </c>
      <c r="G32" s="246">
        <f>SUM(G26:G31)</f>
        <v>210526.00087630001</v>
      </c>
      <c r="H32" s="247">
        <f>SUM(H26:H31)</f>
        <v>667515.34617036709</v>
      </c>
      <c r="I32" s="235">
        <f t="shared" si="1"/>
        <v>1055663.4356166671</v>
      </c>
      <c r="J32" s="15"/>
      <c r="K32" s="190"/>
      <c r="L32" s="15"/>
      <c r="M32" s="35"/>
      <c r="N32" s="35"/>
      <c r="O32" s="35"/>
      <c r="P32" s="35"/>
      <c r="Q32" s="35"/>
      <c r="R32" s="35"/>
      <c r="S32" s="35"/>
      <c r="T32" s="35"/>
      <c r="U32" s="35"/>
      <c r="V32" s="35"/>
      <c r="W32" s="35"/>
      <c r="X32" s="194"/>
    </row>
    <row r="33" spans="1:24" ht="15.75" thickTop="1" x14ac:dyDescent="0.25">
      <c r="A33" s="190"/>
      <c r="B33" s="248"/>
      <c r="C33" s="249"/>
      <c r="D33" s="250"/>
      <c r="E33" s="250"/>
      <c r="F33" s="250"/>
      <c r="G33" s="250"/>
      <c r="H33" s="250"/>
      <c r="I33" s="251"/>
      <c r="J33" s="15"/>
      <c r="K33" s="190"/>
      <c r="L33" s="15"/>
      <c r="M33" s="35"/>
      <c r="N33" s="35"/>
      <c r="O33" s="35"/>
      <c r="P33" s="35"/>
      <c r="Q33" s="35"/>
      <c r="R33" s="35"/>
      <c r="S33" s="35"/>
      <c r="T33" s="35"/>
      <c r="U33" s="35"/>
      <c r="V33" s="35"/>
      <c r="W33" s="35"/>
      <c r="X33" s="194"/>
    </row>
    <row r="34" spans="1:24" ht="16.5" thickBot="1" x14ac:dyDescent="0.3">
      <c r="A34" s="190"/>
      <c r="B34" s="252" t="s">
        <v>221</v>
      </c>
      <c r="C34" s="253"/>
      <c r="D34" s="254">
        <f>D23+D32</f>
        <v>40280.199999999997</v>
      </c>
      <c r="E34" s="254">
        <f>E23+E32</f>
        <v>53440.091800000002</v>
      </c>
      <c r="F34" s="254">
        <f>F23+F32</f>
        <v>157346.38097400003</v>
      </c>
      <c r="G34" s="254">
        <f>G23+G32</f>
        <v>304007.9255827</v>
      </c>
      <c r="H34" s="254">
        <f>H23+H32</f>
        <v>888006.7660958292</v>
      </c>
      <c r="I34" s="255">
        <f>SUM(D34:H34)</f>
        <v>1443081.3644525292</v>
      </c>
      <c r="J34" s="15"/>
      <c r="K34" s="190"/>
      <c r="L34" s="15"/>
      <c r="M34" s="35"/>
      <c r="N34" s="35"/>
      <c r="O34" s="35"/>
      <c r="P34" s="35"/>
      <c r="Q34" s="35"/>
      <c r="R34" s="35"/>
      <c r="S34" s="35"/>
      <c r="T34" s="35"/>
      <c r="U34" s="35"/>
      <c r="V34" s="35"/>
      <c r="W34" s="35"/>
      <c r="X34" s="194"/>
    </row>
    <row r="35" spans="1:24" x14ac:dyDescent="0.25">
      <c r="A35" s="190"/>
      <c r="B35" s="15"/>
      <c r="C35" s="15"/>
      <c r="D35" s="193"/>
      <c r="E35" s="193"/>
      <c r="F35" s="193"/>
      <c r="G35" s="193"/>
      <c r="H35" s="193"/>
      <c r="I35" s="193"/>
      <c r="J35" s="15"/>
      <c r="K35" s="190"/>
      <c r="L35" s="15"/>
      <c r="M35" s="35"/>
      <c r="N35" s="35"/>
      <c r="O35" s="35"/>
      <c r="P35" s="35"/>
      <c r="Q35" s="35"/>
      <c r="R35" s="35"/>
      <c r="S35" s="35"/>
      <c r="T35" s="35"/>
      <c r="U35" s="35"/>
      <c r="V35" s="35"/>
      <c r="W35" s="35"/>
      <c r="X35" s="194"/>
    </row>
    <row r="36" spans="1:24" ht="15.75" x14ac:dyDescent="0.25">
      <c r="A36" s="190"/>
      <c r="B36" s="256" t="s">
        <v>242</v>
      </c>
      <c r="C36" s="257"/>
      <c r="D36" s="258">
        <v>0.201401</v>
      </c>
      <c r="E36" s="258">
        <v>0.1336002295</v>
      </c>
      <c r="F36" s="258">
        <v>0.15734638097400003</v>
      </c>
      <c r="G36" s="258">
        <v>0.15200396279135001</v>
      </c>
      <c r="H36" s="259">
        <v>0.17760135321916584</v>
      </c>
      <c r="I36" s="193"/>
      <c r="J36" s="15"/>
      <c r="K36" s="190"/>
      <c r="L36" s="15"/>
      <c r="M36" s="35"/>
      <c r="N36" s="35"/>
      <c r="O36" s="35"/>
      <c r="P36" s="35"/>
      <c r="Q36" s="35"/>
      <c r="R36" s="35"/>
      <c r="S36" s="35"/>
      <c r="T36" s="35"/>
      <c r="U36" s="35"/>
      <c r="V36" s="35"/>
      <c r="W36" s="35"/>
      <c r="X36" s="194"/>
    </row>
    <row r="37" spans="1:24" x14ac:dyDescent="0.25">
      <c r="A37" s="190"/>
      <c r="B37" s="15"/>
      <c r="C37" s="15"/>
      <c r="D37" s="193"/>
      <c r="E37" s="193"/>
      <c r="F37" s="193"/>
      <c r="G37" s="193"/>
      <c r="H37" s="193"/>
      <c r="I37" s="193"/>
      <c r="J37" s="15"/>
      <c r="K37" s="190"/>
      <c r="L37" s="15"/>
      <c r="M37" s="35"/>
      <c r="N37" s="35"/>
      <c r="O37" s="35"/>
      <c r="P37" s="35"/>
      <c r="Q37" s="35"/>
      <c r="R37" s="35"/>
      <c r="S37" s="35"/>
      <c r="T37" s="35"/>
      <c r="U37" s="35"/>
      <c r="V37" s="35"/>
      <c r="W37" s="35"/>
      <c r="X37" s="194"/>
    </row>
    <row r="38" spans="1:24" ht="18.75" x14ac:dyDescent="0.25">
      <c r="A38" s="190"/>
      <c r="B38" s="191" t="s">
        <v>243</v>
      </c>
      <c r="C38" s="192"/>
      <c r="D38" s="193"/>
      <c r="E38" s="193"/>
      <c r="F38" s="193"/>
      <c r="G38" s="193"/>
      <c r="H38" s="193"/>
      <c r="I38" s="193"/>
      <c r="J38" s="15"/>
      <c r="K38" s="15"/>
      <c r="L38" s="15"/>
      <c r="M38" s="35"/>
      <c r="N38" s="35"/>
      <c r="O38" s="35"/>
      <c r="P38" s="35"/>
      <c r="Q38" s="35"/>
      <c r="R38" s="35"/>
      <c r="S38" s="35"/>
      <c r="T38" s="35"/>
      <c r="U38" s="35"/>
      <c r="V38" s="35"/>
      <c r="W38" s="35"/>
      <c r="X38" s="194"/>
    </row>
    <row r="39" spans="1:24" ht="15.75" thickBot="1" x14ac:dyDescent="0.3">
      <c r="A39" s="190"/>
      <c r="B39" s="15"/>
      <c r="C39" s="15"/>
      <c r="D39" s="193"/>
      <c r="E39" s="193"/>
      <c r="F39" s="193"/>
      <c r="G39" s="193"/>
      <c r="H39" s="193"/>
      <c r="I39" s="193"/>
      <c r="J39" s="15"/>
      <c r="K39" s="15"/>
      <c r="L39" s="15"/>
      <c r="M39" s="35"/>
      <c r="N39" s="35"/>
      <c r="O39" s="35"/>
      <c r="P39" s="35"/>
      <c r="Q39" s="35"/>
      <c r="R39" s="35"/>
      <c r="S39" s="35"/>
      <c r="T39" s="35"/>
      <c r="U39" s="35"/>
      <c r="V39" s="35"/>
      <c r="W39" s="35"/>
      <c r="X39" s="194"/>
    </row>
    <row r="40" spans="1:24" ht="30" customHeight="1" x14ac:dyDescent="0.25">
      <c r="A40" s="190"/>
      <c r="B40" s="1014" t="s">
        <v>244</v>
      </c>
      <c r="C40" s="1015"/>
      <c r="D40" s="199" t="str">
        <f>D7</f>
        <v>Year 1</v>
      </c>
      <c r="E40" s="199" t="str">
        <f>E7</f>
        <v>Year 2</v>
      </c>
      <c r="F40" s="199" t="str">
        <f>F7</f>
        <v>Year 3</v>
      </c>
      <c r="G40" s="199" t="str">
        <f>G7</f>
        <v>Year 4</v>
      </c>
      <c r="H40" s="199" t="str">
        <f>H7</f>
        <v>Year 5</v>
      </c>
      <c r="I40" s="260" t="s">
        <v>245</v>
      </c>
      <c r="J40" s="260" t="s">
        <v>143</v>
      </c>
      <c r="K40" s="15"/>
      <c r="L40" s="15"/>
      <c r="M40" s="35"/>
      <c r="N40" s="35"/>
      <c r="O40" s="35"/>
      <c r="P40" s="35"/>
      <c r="Q40" s="35"/>
      <c r="R40" s="35"/>
      <c r="S40" s="35"/>
      <c r="T40" s="35"/>
      <c r="U40" s="35"/>
      <c r="V40" s="35"/>
      <c r="W40" s="35"/>
      <c r="X40" s="194"/>
    </row>
    <row r="41" spans="1:24" x14ac:dyDescent="0.25">
      <c r="A41" s="190"/>
      <c r="B41" s="261" t="str">
        <f>B9</f>
        <v>FLW - Data plans and add. salaries</v>
      </c>
      <c r="C41" s="262"/>
      <c r="D41" s="230">
        <v>12</v>
      </c>
      <c r="E41" s="230">
        <v>13.080000000000002</v>
      </c>
      <c r="F41" s="230">
        <v>14.257200000000001</v>
      </c>
      <c r="G41" s="230">
        <v>15.540348000000002</v>
      </c>
      <c r="H41" s="263">
        <v>16.938979320000001</v>
      </c>
      <c r="I41" s="231">
        <f t="shared" ref="I41:I46" si="2">AVERAGE(D41:H41)</f>
        <v>14.363305464000002</v>
      </c>
      <c r="J41" s="264">
        <f t="shared" ref="J41:J46" si="3">I41/$I$48</f>
        <v>4.3686520849289111E-2</v>
      </c>
      <c r="K41" s="15"/>
      <c r="L41" s="15"/>
      <c r="M41" s="35"/>
      <c r="N41" s="35"/>
      <c r="O41" s="35"/>
      <c r="P41" s="35"/>
      <c r="Q41" s="35"/>
      <c r="R41" s="35"/>
      <c r="S41" s="35"/>
      <c r="T41" s="35"/>
      <c r="U41" s="35"/>
      <c r="V41" s="35"/>
      <c r="W41" s="35"/>
      <c r="X41" s="194"/>
    </row>
    <row r="42" spans="1:24" x14ac:dyDescent="0.25">
      <c r="A42" s="190"/>
      <c r="B42" s="265" t="str">
        <f>B10</f>
        <v>Staff &amp; Management - Data plan and salaries</v>
      </c>
      <c r="C42" s="266"/>
      <c r="D42" s="267">
        <v>24.192000000000004</v>
      </c>
      <c r="E42" s="267">
        <v>26.369280000000003</v>
      </c>
      <c r="F42" s="267">
        <v>28.742515200000007</v>
      </c>
      <c r="G42" s="267">
        <v>31.329341568000004</v>
      </c>
      <c r="H42" s="268">
        <v>34.148982309120008</v>
      </c>
      <c r="I42" s="231">
        <f t="shared" si="2"/>
        <v>28.956423815424007</v>
      </c>
      <c r="J42" s="264">
        <f t="shared" si="3"/>
        <v>8.8072026032166864E-2</v>
      </c>
      <c r="K42" s="15"/>
      <c r="L42" s="15"/>
      <c r="M42" s="35"/>
      <c r="N42" s="35"/>
      <c r="O42" s="35"/>
      <c r="P42" s="35"/>
      <c r="Q42" s="35"/>
      <c r="R42" s="35"/>
      <c r="S42" s="35"/>
      <c r="T42" s="35"/>
      <c r="U42" s="35"/>
      <c r="V42" s="35"/>
      <c r="W42" s="35"/>
      <c r="X42" s="194"/>
    </row>
    <row r="43" spans="1:24" x14ac:dyDescent="0.25">
      <c r="A43" s="190"/>
      <c r="B43" s="265" t="str">
        <f>B11</f>
        <v>Trainings</v>
      </c>
      <c r="C43" s="266"/>
      <c r="D43" s="267">
        <v>24.39</v>
      </c>
      <c r="E43" s="267">
        <v>18.584064000000001</v>
      </c>
      <c r="F43" s="267">
        <v>22.000855608000006</v>
      </c>
      <c r="G43" s="267">
        <v>22.079726438400005</v>
      </c>
      <c r="H43" s="267">
        <v>26.139216547864805</v>
      </c>
      <c r="I43" s="231">
        <f t="shared" si="2"/>
        <v>22.638772518852964</v>
      </c>
      <c r="J43" s="264">
        <f t="shared" si="3"/>
        <v>6.8856657691088105E-2</v>
      </c>
      <c r="K43" s="15"/>
      <c r="L43" s="15"/>
      <c r="M43" s="35"/>
      <c r="N43" s="35"/>
      <c r="O43" s="35"/>
      <c r="P43" s="35"/>
      <c r="Q43" s="35"/>
      <c r="R43" s="35"/>
      <c r="S43" s="35"/>
      <c r="T43" s="35"/>
      <c r="U43" s="35"/>
      <c r="V43" s="35"/>
      <c r="W43" s="35"/>
      <c r="X43" s="194"/>
    </row>
    <row r="44" spans="1:24" x14ac:dyDescent="0.25">
      <c r="A44" s="190"/>
      <c r="B44" s="265" t="str">
        <f>B32</f>
        <v>Total Capital / Equipment</v>
      </c>
      <c r="C44" s="266"/>
      <c r="D44" s="267">
        <v>296.98</v>
      </c>
      <c r="E44" s="267">
        <v>177.532115</v>
      </c>
      <c r="F44" s="267">
        <v>224.83533114000002</v>
      </c>
      <c r="G44" s="267">
        <v>210.5260008763</v>
      </c>
      <c r="H44" s="268">
        <v>267.00613846814684</v>
      </c>
      <c r="I44" s="231">
        <f t="shared" si="2"/>
        <v>235.37591709688937</v>
      </c>
      <c r="J44" s="264">
        <f t="shared" si="3"/>
        <v>0.7159044925589283</v>
      </c>
      <c r="K44" s="15"/>
      <c r="L44" s="15"/>
      <c r="M44" s="35"/>
      <c r="N44" s="35"/>
      <c r="O44" s="35"/>
      <c r="P44" s="35"/>
      <c r="Q44" s="35"/>
      <c r="R44" s="35"/>
      <c r="S44" s="35"/>
      <c r="T44" s="35"/>
      <c r="U44" s="35"/>
      <c r="V44" s="35"/>
      <c r="W44" s="35"/>
      <c r="X44" s="194"/>
    </row>
    <row r="45" spans="1:24" x14ac:dyDescent="0.25">
      <c r="A45" s="190"/>
      <c r="B45" s="265" t="str">
        <f>B20</f>
        <v>Office expenses</v>
      </c>
      <c r="C45" s="266"/>
      <c r="D45" s="267">
        <v>3</v>
      </c>
      <c r="E45" s="267">
        <v>1.635</v>
      </c>
      <c r="F45" s="267">
        <v>0.71286000000000016</v>
      </c>
      <c r="G45" s="267">
        <v>0.3885087000000001</v>
      </c>
      <c r="H45" s="268">
        <v>0.16938979320000003</v>
      </c>
      <c r="I45" s="231">
        <f t="shared" si="2"/>
        <v>1.1811516986399999</v>
      </c>
      <c r="J45" s="264">
        <f t="shared" si="3"/>
        <v>3.5925162517875977E-3</v>
      </c>
      <c r="K45" s="15"/>
      <c r="L45" s="15"/>
      <c r="M45" s="35"/>
      <c r="N45" s="35"/>
      <c r="O45" s="35"/>
      <c r="P45" s="35"/>
      <c r="Q45" s="35"/>
      <c r="R45" s="35"/>
      <c r="S45" s="35"/>
      <c r="T45" s="35"/>
      <c r="U45" s="35"/>
      <c r="V45" s="35"/>
      <c r="W45" s="35"/>
      <c r="X45" s="194"/>
    </row>
    <row r="46" spans="1:24" x14ac:dyDescent="0.25">
      <c r="A46" s="190"/>
      <c r="B46" s="265" t="str">
        <f>B21</f>
        <v>Dimagi - CommCare hosting fees</v>
      </c>
      <c r="C46" s="266"/>
      <c r="D46" s="267">
        <v>42.24</v>
      </c>
      <c r="E46" s="267">
        <v>30</v>
      </c>
      <c r="F46" s="267">
        <v>24.143999999999998</v>
      </c>
      <c r="G46" s="267">
        <v>24.143999999999998</v>
      </c>
      <c r="H46" s="268">
        <v>10.8</v>
      </c>
      <c r="I46" s="231">
        <f t="shared" si="2"/>
        <v>26.265600000000006</v>
      </c>
      <c r="J46" s="264">
        <f t="shared" si="3"/>
        <v>7.9887786616740036E-2</v>
      </c>
      <c r="K46" s="15"/>
      <c r="L46" s="15"/>
      <c r="M46" s="35"/>
      <c r="N46" s="35"/>
      <c r="O46" s="35"/>
      <c r="P46" s="35"/>
      <c r="Q46" s="35"/>
      <c r="R46" s="35"/>
      <c r="S46" s="35"/>
      <c r="T46" s="35"/>
      <c r="U46" s="35"/>
      <c r="V46" s="35"/>
      <c r="W46" s="35"/>
      <c r="X46" s="194"/>
    </row>
    <row r="47" spans="1:24" x14ac:dyDescent="0.25">
      <c r="A47" s="190"/>
      <c r="B47" s="265"/>
      <c r="C47" s="266"/>
      <c r="D47" s="267"/>
      <c r="E47" s="267"/>
      <c r="F47" s="267"/>
      <c r="G47" s="267"/>
      <c r="H47" s="268"/>
      <c r="I47" s="231"/>
      <c r="J47" s="264"/>
      <c r="K47" s="15"/>
      <c r="L47" s="15"/>
      <c r="M47" s="35"/>
      <c r="N47" s="35"/>
      <c r="O47" s="35"/>
      <c r="P47" s="35"/>
      <c r="Q47" s="35"/>
      <c r="R47" s="35"/>
      <c r="S47" s="35"/>
      <c r="T47" s="35"/>
      <c r="U47" s="35"/>
      <c r="V47" s="35"/>
      <c r="W47" s="35"/>
      <c r="X47" s="194"/>
    </row>
    <row r="48" spans="1:24" ht="16.5" thickBot="1" x14ac:dyDescent="0.3">
      <c r="A48" s="190"/>
      <c r="B48" s="252" t="s">
        <v>246</v>
      </c>
      <c r="C48" s="253"/>
      <c r="D48" s="269">
        <f>SUM(D41:D47)</f>
        <v>402.80200000000002</v>
      </c>
      <c r="E48" s="269">
        <f>SUM(E41:E47)</f>
        <v>267.20045900000002</v>
      </c>
      <c r="F48" s="269">
        <f>SUM(F41:F47)</f>
        <v>314.692761948</v>
      </c>
      <c r="G48" s="269">
        <f>SUM(G41:G47)</f>
        <v>304.00792558270001</v>
      </c>
      <c r="H48" s="270">
        <f>SUM(H41:H47)</f>
        <v>355.20270643833169</v>
      </c>
      <c r="I48" s="271">
        <f>AVERAGE(C48:H48)</f>
        <v>328.78117059380634</v>
      </c>
      <c r="J48" s="272">
        <f>I48/$I$48</f>
        <v>1</v>
      </c>
      <c r="K48" s="15"/>
      <c r="L48" s="15"/>
      <c r="M48" s="35"/>
      <c r="N48" s="35"/>
      <c r="O48" s="35"/>
      <c r="P48" s="35"/>
      <c r="Q48" s="35"/>
      <c r="R48" s="35"/>
      <c r="S48" s="35"/>
      <c r="T48" s="35"/>
      <c r="U48" s="35"/>
      <c r="V48" s="35"/>
      <c r="W48" s="35"/>
      <c r="X48" s="194"/>
    </row>
    <row r="49" spans="1:24" x14ac:dyDescent="0.25">
      <c r="A49" s="190"/>
      <c r="B49" s="15"/>
      <c r="C49" s="15"/>
      <c r="D49" s="193"/>
      <c r="E49" s="193"/>
      <c r="F49" s="193"/>
      <c r="G49" s="193"/>
      <c r="H49" s="193"/>
      <c r="I49" s="193"/>
      <c r="J49" s="190"/>
      <c r="K49" s="15"/>
      <c r="L49" s="15"/>
      <c r="M49" s="35"/>
      <c r="N49" s="35"/>
      <c r="O49" s="35"/>
      <c r="P49" s="35"/>
      <c r="Q49" s="35"/>
      <c r="R49" s="35"/>
      <c r="S49" s="273"/>
      <c r="T49" s="273"/>
      <c r="U49" s="35"/>
      <c r="V49" s="35"/>
      <c r="W49" s="35"/>
      <c r="X49" s="194"/>
    </row>
    <row r="50" spans="1:24" ht="16.5" thickBot="1" x14ac:dyDescent="0.3">
      <c r="A50" s="190"/>
      <c r="B50" s="15"/>
      <c r="C50" s="15"/>
      <c r="D50" s="1016" t="s">
        <v>247</v>
      </c>
      <c r="E50" s="1017"/>
      <c r="F50" s="1017"/>
      <c r="G50" s="1017"/>
      <c r="H50" s="1018"/>
      <c r="I50" s="271">
        <f>I48</f>
        <v>328.78117059380634</v>
      </c>
      <c r="J50" s="15"/>
      <c r="K50" s="15"/>
      <c r="L50" s="15"/>
      <c r="M50" s="35"/>
      <c r="N50" s="35"/>
      <c r="O50" s="35"/>
      <c r="P50" s="35"/>
      <c r="Q50" s="35"/>
      <c r="R50" s="35"/>
      <c r="S50" s="35"/>
      <c r="T50" s="35"/>
      <c r="U50" s="35"/>
      <c r="V50" s="35"/>
      <c r="W50" s="35"/>
      <c r="X50" s="194"/>
    </row>
    <row r="51" spans="1:24" ht="15.75" thickTop="1" x14ac:dyDescent="0.25">
      <c r="A51" s="177"/>
      <c r="B51" s="20"/>
      <c r="C51" s="20"/>
      <c r="D51" s="178"/>
      <c r="E51" s="178"/>
      <c r="F51" s="178"/>
      <c r="G51" s="178"/>
      <c r="H51" s="178"/>
      <c r="I51" s="178"/>
      <c r="J51" s="177"/>
      <c r="K51" s="20"/>
      <c r="L51" s="20"/>
      <c r="M51" s="56"/>
      <c r="N51" s="56"/>
      <c r="O51" s="56"/>
      <c r="P51" s="56"/>
      <c r="Q51" s="56"/>
      <c r="R51" s="56"/>
      <c r="S51" s="35"/>
      <c r="T51" s="35"/>
      <c r="U51" s="56"/>
      <c r="V51" s="56"/>
      <c r="W51" s="56"/>
      <c r="X51" s="274"/>
    </row>
    <row r="52" spans="1:24" x14ac:dyDescent="0.25">
      <c r="A52" s="190"/>
      <c r="B52" s="15"/>
      <c r="C52" s="15"/>
      <c r="D52" s="193"/>
      <c r="E52" s="193"/>
      <c r="F52" s="193"/>
      <c r="G52" s="193"/>
      <c r="H52" s="193"/>
      <c r="I52" s="193"/>
      <c r="J52" s="190"/>
      <c r="K52" s="15"/>
      <c r="L52" s="15"/>
      <c r="M52" s="35"/>
      <c r="N52" s="35"/>
      <c r="O52" s="35"/>
      <c r="P52" s="35"/>
      <c r="Q52" s="35"/>
      <c r="R52" s="35"/>
      <c r="S52" s="35"/>
      <c r="T52" s="35"/>
      <c r="U52" s="35"/>
      <c r="V52" s="35"/>
      <c r="W52" s="35"/>
      <c r="X52" s="194"/>
    </row>
    <row r="53" spans="1:24" ht="15.75" thickBot="1" x14ac:dyDescent="0.3">
      <c r="A53" s="275"/>
      <c r="B53" s="276"/>
      <c r="C53" s="276"/>
      <c r="D53" s="277"/>
      <c r="E53" s="277"/>
      <c r="F53" s="277"/>
      <c r="G53" s="277"/>
      <c r="H53" s="277"/>
      <c r="I53" s="277"/>
      <c r="J53" s="275"/>
      <c r="K53" s="275"/>
      <c r="L53" s="275"/>
      <c r="M53" s="278"/>
      <c r="N53" s="278"/>
      <c r="O53" s="278"/>
      <c r="P53" s="278"/>
      <c r="Q53" s="278"/>
      <c r="R53" s="278"/>
      <c r="S53" s="279"/>
      <c r="T53" s="279"/>
      <c r="U53" s="279"/>
      <c r="V53" s="279"/>
      <c r="W53" s="279"/>
      <c r="X53" s="280"/>
    </row>
    <row r="55" spans="1:24" ht="18.75" hidden="1" x14ac:dyDescent="0.25">
      <c r="A55" s="190"/>
      <c r="B55" s="191" t="s">
        <v>248</v>
      </c>
      <c r="C55" s="192"/>
      <c r="D55" s="193"/>
      <c r="E55" s="193"/>
      <c r="F55" s="193"/>
      <c r="G55" s="193"/>
      <c r="H55" s="193"/>
      <c r="I55" s="193"/>
      <c r="J55" s="15"/>
      <c r="K55" s="190"/>
      <c r="L55" s="15"/>
      <c r="M55" s="15"/>
      <c r="N55" s="15"/>
      <c r="O55" s="15"/>
      <c r="P55" s="15"/>
      <c r="Q55" s="15"/>
      <c r="R55" s="15"/>
      <c r="S55" s="15"/>
      <c r="T55" s="15"/>
      <c r="U55" s="15"/>
      <c r="V55" s="15"/>
      <c r="W55" s="15"/>
      <c r="X55" s="281"/>
    </row>
    <row r="56" spans="1:24" hidden="1" x14ac:dyDescent="0.25"/>
    <row r="57" spans="1:24" hidden="1" x14ac:dyDescent="0.25">
      <c r="B57" s="197" t="s">
        <v>220</v>
      </c>
      <c r="C57" s="198"/>
      <c r="D57" s="199" t="str">
        <f>D7</f>
        <v>Year 1</v>
      </c>
      <c r="E57" s="199" t="str">
        <f>E7</f>
        <v>Year 2</v>
      </c>
      <c r="F57" s="199" t="str">
        <f>F7</f>
        <v>Year 3</v>
      </c>
      <c r="G57" s="199" t="str">
        <f>G7</f>
        <v>Year 4</v>
      </c>
      <c r="H57" s="199" t="str">
        <f>H7</f>
        <v>Year 5</v>
      </c>
      <c r="I57" s="200" t="s">
        <v>221</v>
      </c>
    </row>
    <row r="58" spans="1:24" hidden="1" x14ac:dyDescent="0.25">
      <c r="B58" s="201" t="s">
        <v>222</v>
      </c>
      <c r="C58" s="202"/>
      <c r="D58" s="203"/>
      <c r="E58" s="203"/>
      <c r="F58" s="203"/>
      <c r="G58" s="203"/>
      <c r="H58" s="204"/>
      <c r="I58" s="205"/>
    </row>
    <row r="59" spans="1:24" hidden="1" x14ac:dyDescent="0.25">
      <c r="B59" s="206" t="s">
        <v>249</v>
      </c>
      <c r="C59" s="207"/>
      <c r="D59" s="267">
        <v>100.60000000000001</v>
      </c>
      <c r="E59" s="267">
        <v>201.20000000000002</v>
      </c>
      <c r="F59" s="267">
        <v>503</v>
      </c>
      <c r="G59" s="267">
        <v>1006</v>
      </c>
      <c r="H59" s="267">
        <v>2515</v>
      </c>
      <c r="I59" s="231">
        <f t="shared" ref="I59:I64" si="4">SUM(D59:H59)</f>
        <v>4325.8</v>
      </c>
    </row>
    <row r="60" spans="1:24" hidden="1" x14ac:dyDescent="0.25">
      <c r="B60" s="206" t="s">
        <v>250</v>
      </c>
      <c r="C60" s="210"/>
      <c r="D60" s="243">
        <f>D9+D10-D59</f>
        <v>3518.6000000000004</v>
      </c>
      <c r="E60" s="243">
        <f>E9+E10-E59</f>
        <v>7688.6560000000018</v>
      </c>
      <c r="F60" s="243">
        <f>F9+F10-F59</f>
        <v>20996.857600000003</v>
      </c>
      <c r="G60" s="243">
        <f>G9+G10-G59</f>
        <v>45863.689568000002</v>
      </c>
      <c r="H60" s="243">
        <f>H9+H10-H59</f>
        <v>125204.90407280003</v>
      </c>
      <c r="I60" s="231">
        <f t="shared" si="4"/>
        <v>203272.70724080002</v>
      </c>
    </row>
    <row r="61" spans="1:24" hidden="1" x14ac:dyDescent="0.25">
      <c r="B61" s="212" t="s">
        <v>225</v>
      </c>
      <c r="C61" s="213"/>
      <c r="D61" s="230">
        <f t="shared" ref="D61:H71" si="5">D11</f>
        <v>2439</v>
      </c>
      <c r="E61" s="230">
        <f t="shared" si="5"/>
        <v>3716.8128000000006</v>
      </c>
      <c r="F61" s="230">
        <f t="shared" si="5"/>
        <v>11000.427804000003</v>
      </c>
      <c r="G61" s="230">
        <f t="shared" si="5"/>
        <v>22079.726438400005</v>
      </c>
      <c r="H61" s="230">
        <f t="shared" si="5"/>
        <v>65348.041369662009</v>
      </c>
      <c r="I61" s="283">
        <f t="shared" si="4"/>
        <v>104584.00841206202</v>
      </c>
    </row>
    <row r="62" spans="1:24" hidden="1" x14ac:dyDescent="0.25">
      <c r="B62" s="216" t="s">
        <v>226</v>
      </c>
      <c r="C62" s="217"/>
      <c r="D62" s="230">
        <f t="shared" si="5"/>
        <v>800</v>
      </c>
      <c r="E62" s="230">
        <f t="shared" si="5"/>
        <v>1744.0000000000002</v>
      </c>
      <c r="F62" s="230">
        <f t="shared" si="5"/>
        <v>4752.4000000000005</v>
      </c>
      <c r="G62" s="230">
        <f t="shared" si="5"/>
        <v>10360.232000000002</v>
      </c>
      <c r="H62" s="230">
        <f t="shared" si="5"/>
        <v>28231.632200000004</v>
      </c>
      <c r="I62" s="219">
        <f t="shared" si="4"/>
        <v>45888.264200000005</v>
      </c>
    </row>
    <row r="63" spans="1:24" hidden="1" x14ac:dyDescent="0.25">
      <c r="B63" s="216" t="s">
        <v>227</v>
      </c>
      <c r="C63" s="217"/>
      <c r="D63" s="230">
        <f t="shared" si="5"/>
        <v>3</v>
      </c>
      <c r="E63" s="230">
        <f t="shared" si="5"/>
        <v>6.5400000000000009</v>
      </c>
      <c r="F63" s="230">
        <f t="shared" si="5"/>
        <v>17.821500000000004</v>
      </c>
      <c r="G63" s="230">
        <f t="shared" si="5"/>
        <v>38.850870000000008</v>
      </c>
      <c r="H63" s="230">
        <f t="shared" si="5"/>
        <v>105.86862075000002</v>
      </c>
      <c r="I63" s="219">
        <f t="shared" si="4"/>
        <v>172.08099075000004</v>
      </c>
    </row>
    <row r="64" spans="1:24" hidden="1" x14ac:dyDescent="0.25">
      <c r="B64" s="216" t="s">
        <v>228</v>
      </c>
      <c r="C64" s="217"/>
      <c r="D64" s="230">
        <f t="shared" si="5"/>
        <v>4.8000000000000007</v>
      </c>
      <c r="E64" s="230">
        <f t="shared" si="5"/>
        <v>10.464000000000002</v>
      </c>
      <c r="F64" s="230">
        <f t="shared" si="5"/>
        <v>28.514400000000002</v>
      </c>
      <c r="G64" s="230">
        <f t="shared" si="5"/>
        <v>62.161392000000006</v>
      </c>
      <c r="H64" s="230">
        <f t="shared" si="5"/>
        <v>169.38979320000004</v>
      </c>
      <c r="I64" s="219">
        <f t="shared" si="4"/>
        <v>275.32958520000005</v>
      </c>
    </row>
    <row r="65" spans="2:9" hidden="1" x14ac:dyDescent="0.25">
      <c r="B65" s="216" t="s">
        <v>229</v>
      </c>
      <c r="C65" s="217"/>
      <c r="D65" s="230">
        <f t="shared" si="5"/>
        <v>0</v>
      </c>
      <c r="E65" s="230">
        <f t="shared" si="5"/>
        <v>0</v>
      </c>
      <c r="F65" s="230">
        <f t="shared" si="5"/>
        <v>0</v>
      </c>
      <c r="G65" s="230">
        <f t="shared" si="5"/>
        <v>0</v>
      </c>
      <c r="H65" s="230">
        <f t="shared" si="5"/>
        <v>0</v>
      </c>
      <c r="I65" s="219"/>
    </row>
    <row r="66" spans="2:9" hidden="1" x14ac:dyDescent="0.25">
      <c r="B66" s="216" t="s">
        <v>230</v>
      </c>
      <c r="C66" s="217"/>
      <c r="D66" s="230">
        <f t="shared" si="5"/>
        <v>1600</v>
      </c>
      <c r="E66" s="230">
        <f t="shared" si="5"/>
        <v>1918.4</v>
      </c>
      <c r="F66" s="230">
        <f t="shared" si="5"/>
        <v>6083.072000000001</v>
      </c>
      <c r="G66" s="230">
        <f t="shared" si="5"/>
        <v>11396.255200000001</v>
      </c>
      <c r="H66" s="230">
        <f t="shared" si="5"/>
        <v>36136.489216000009</v>
      </c>
      <c r="I66" s="219">
        <f t="shared" ref="I66:I73" si="6">SUM(D66:H66)</f>
        <v>57134.21641600001</v>
      </c>
    </row>
    <row r="67" spans="2:9" hidden="1" x14ac:dyDescent="0.25">
      <c r="B67" s="216" t="s">
        <v>231</v>
      </c>
      <c r="C67" s="217"/>
      <c r="D67" s="230">
        <f t="shared" si="5"/>
        <v>12</v>
      </c>
      <c r="E67" s="230">
        <f t="shared" si="5"/>
        <v>14.388000000000002</v>
      </c>
      <c r="F67" s="230">
        <f t="shared" si="5"/>
        <v>45.623040000000003</v>
      </c>
      <c r="G67" s="230">
        <f t="shared" si="5"/>
        <v>85.471914000000012</v>
      </c>
      <c r="H67" s="230">
        <f t="shared" si="5"/>
        <v>271.02366912000002</v>
      </c>
      <c r="I67" s="219">
        <f t="shared" si="6"/>
        <v>428.50662312000003</v>
      </c>
    </row>
    <row r="68" spans="2:9" hidden="1" x14ac:dyDescent="0.25">
      <c r="B68" s="216" t="s">
        <v>232</v>
      </c>
      <c r="C68" s="217"/>
      <c r="D68" s="230">
        <f t="shared" si="5"/>
        <v>19.200000000000003</v>
      </c>
      <c r="E68" s="230">
        <f t="shared" si="5"/>
        <v>23.020800000000008</v>
      </c>
      <c r="F68" s="230">
        <f t="shared" si="5"/>
        <v>72.996864000000002</v>
      </c>
      <c r="G68" s="230">
        <f t="shared" si="5"/>
        <v>136.75506240000004</v>
      </c>
      <c r="H68" s="230">
        <f t="shared" si="5"/>
        <v>433.63787059200013</v>
      </c>
      <c r="I68" s="219">
        <f t="shared" si="6"/>
        <v>685.61059699200018</v>
      </c>
    </row>
    <row r="69" spans="2:9" hidden="1" x14ac:dyDescent="0.25">
      <c r="B69" s="284" t="s">
        <v>233</v>
      </c>
      <c r="C69" s="222"/>
      <c r="D69" s="230">
        <f t="shared" si="5"/>
        <v>0</v>
      </c>
      <c r="E69" s="230">
        <f t="shared" si="5"/>
        <v>0</v>
      </c>
      <c r="F69" s="230">
        <f t="shared" si="5"/>
        <v>0</v>
      </c>
      <c r="G69" s="230">
        <f t="shared" si="5"/>
        <v>0</v>
      </c>
      <c r="H69" s="230">
        <f t="shared" si="5"/>
        <v>0</v>
      </c>
      <c r="I69" s="224">
        <f t="shared" si="6"/>
        <v>0</v>
      </c>
    </row>
    <row r="70" spans="2:9" hidden="1" x14ac:dyDescent="0.25">
      <c r="B70" s="225" t="s">
        <v>234</v>
      </c>
      <c r="C70" s="226"/>
      <c r="D70" s="230">
        <f t="shared" si="5"/>
        <v>300</v>
      </c>
      <c r="E70" s="230">
        <f t="shared" si="5"/>
        <v>327</v>
      </c>
      <c r="F70" s="230">
        <f t="shared" si="5"/>
        <v>356.43000000000006</v>
      </c>
      <c r="G70" s="230">
        <f t="shared" si="5"/>
        <v>388.50870000000009</v>
      </c>
      <c r="H70" s="230">
        <f t="shared" si="5"/>
        <v>423.47448300000008</v>
      </c>
      <c r="I70" s="219">
        <f t="shared" si="6"/>
        <v>1795.4131830000001</v>
      </c>
    </row>
    <row r="71" spans="2:9" hidden="1" x14ac:dyDescent="0.25">
      <c r="B71" s="225" t="s">
        <v>235</v>
      </c>
      <c r="C71" s="226"/>
      <c r="D71" s="230">
        <f t="shared" si="5"/>
        <v>4224</v>
      </c>
      <c r="E71" s="230">
        <f t="shared" si="5"/>
        <v>6000</v>
      </c>
      <c r="F71" s="230">
        <f t="shared" si="5"/>
        <v>12072</v>
      </c>
      <c r="G71" s="230">
        <f t="shared" si="5"/>
        <v>24144</v>
      </c>
      <c r="H71" s="230">
        <f t="shared" si="5"/>
        <v>27000</v>
      </c>
      <c r="I71" s="224">
        <f t="shared" si="6"/>
        <v>73440</v>
      </c>
    </row>
    <row r="72" spans="2:9" hidden="1" x14ac:dyDescent="0.25">
      <c r="B72" s="212"/>
      <c r="C72" s="213"/>
      <c r="D72" s="230"/>
      <c r="E72" s="230"/>
      <c r="F72" s="230"/>
      <c r="G72" s="230"/>
      <c r="H72" s="230"/>
      <c r="I72" s="231">
        <f t="shared" si="6"/>
        <v>0</v>
      </c>
    </row>
    <row r="73" spans="2:9" ht="15.75" hidden="1" thickBot="1" x14ac:dyDescent="0.3">
      <c r="B73" s="232" t="s">
        <v>236</v>
      </c>
      <c r="C73" s="233"/>
      <c r="D73" s="234">
        <f>SUM(D70:D72,D61,D59:D60)</f>
        <v>10582.2</v>
      </c>
      <c r="E73" s="234">
        <f>SUM(E70:E72,E61,E59:E60)</f>
        <v>17933.668800000003</v>
      </c>
      <c r="F73" s="234">
        <f>SUM(F70:F72,F61,F59:F60)</f>
        <v>44928.715404000002</v>
      </c>
      <c r="G73" s="234">
        <f>SUM(G70:G72,G61,G59:G60)</f>
        <v>93481.924706400008</v>
      </c>
      <c r="H73" s="234">
        <f>SUM(H70:H72,H61,H59:H60)</f>
        <v>220491.41992546205</v>
      </c>
      <c r="I73" s="235">
        <f t="shared" si="6"/>
        <v>387417.92883586208</v>
      </c>
    </row>
    <row r="74" spans="2:9" ht="15.75" hidden="1" thickTop="1" x14ac:dyDescent="0.25">
      <c r="B74" s="236"/>
      <c r="C74" s="237"/>
      <c r="D74" s="238"/>
      <c r="E74" s="239"/>
      <c r="F74" s="239"/>
      <c r="G74" s="239"/>
      <c r="H74" s="239"/>
      <c r="I74" s="240"/>
    </row>
    <row r="75" spans="2:9" hidden="1" x14ac:dyDescent="0.25">
      <c r="B75" s="201" t="s">
        <v>237</v>
      </c>
      <c r="C75" s="202"/>
      <c r="D75" s="241"/>
      <c r="E75" s="241"/>
      <c r="F75" s="241"/>
      <c r="G75" s="241"/>
      <c r="H75" s="241"/>
      <c r="I75" s="242"/>
    </row>
    <row r="76" spans="2:9" hidden="1" x14ac:dyDescent="0.25">
      <c r="B76" s="206" t="str">
        <f>B26</f>
        <v>Mobile Phones</v>
      </c>
      <c r="C76" s="207"/>
      <c r="D76" s="243">
        <f>D26</f>
        <v>9500</v>
      </c>
      <c r="E76" s="243">
        <f>E26</f>
        <v>11494.050000000001</v>
      </c>
      <c r="F76" s="243">
        <f>F26</f>
        <v>36343.979000000007</v>
      </c>
      <c r="G76" s="243">
        <f>G26</f>
        <v>68034.348515000005</v>
      </c>
      <c r="H76" s="243">
        <f>H26</f>
        <v>215767.30699655003</v>
      </c>
      <c r="I76" s="231">
        <f t="shared" ref="I76:I81" si="7">SUM(D76:H76)</f>
        <v>341139.68451155006</v>
      </c>
    </row>
    <row r="77" spans="2:9" hidden="1" x14ac:dyDescent="0.25">
      <c r="B77" s="206" t="str">
        <f>B27</f>
        <v>Solar equipment for device charging</v>
      </c>
      <c r="C77" s="207"/>
      <c r="D77" s="243">
        <f t="shared" ref="D77:H79" si="8">D27</f>
        <v>20000</v>
      </c>
      <c r="E77" s="243">
        <f t="shared" si="8"/>
        <v>23980</v>
      </c>
      <c r="F77" s="243">
        <f t="shared" si="8"/>
        <v>76038.400000000009</v>
      </c>
      <c r="G77" s="243">
        <f t="shared" si="8"/>
        <v>142453.19000000003</v>
      </c>
      <c r="H77" s="243">
        <f t="shared" si="8"/>
        <v>451706.11520000006</v>
      </c>
      <c r="I77" s="231">
        <f t="shared" si="7"/>
        <v>714177.70520000008</v>
      </c>
    </row>
    <row r="78" spans="2:9" hidden="1" x14ac:dyDescent="0.25">
      <c r="B78" s="206" t="str">
        <f>B28</f>
        <v>Netbooks for project manager</v>
      </c>
      <c r="C78" s="207"/>
      <c r="D78" s="243">
        <f t="shared" si="8"/>
        <v>0</v>
      </c>
      <c r="E78" s="243">
        <f t="shared" si="8"/>
        <v>0</v>
      </c>
      <c r="F78" s="243">
        <f t="shared" si="8"/>
        <v>0</v>
      </c>
      <c r="G78" s="243">
        <f t="shared" si="8"/>
        <v>0</v>
      </c>
      <c r="H78" s="243">
        <f t="shared" si="8"/>
        <v>0</v>
      </c>
      <c r="I78" s="231">
        <f t="shared" si="7"/>
        <v>0</v>
      </c>
    </row>
    <row r="79" spans="2:9" hidden="1" x14ac:dyDescent="0.25">
      <c r="B79" s="206" t="str">
        <f>B29</f>
        <v>Netbooks for field staff</v>
      </c>
      <c r="C79" s="207"/>
      <c r="D79" s="243">
        <f t="shared" si="8"/>
        <v>0</v>
      </c>
      <c r="E79" s="243">
        <f t="shared" si="8"/>
        <v>0</v>
      </c>
      <c r="F79" s="243">
        <f t="shared" si="8"/>
        <v>0</v>
      </c>
      <c r="G79" s="243">
        <f t="shared" si="8"/>
        <v>0</v>
      </c>
      <c r="H79" s="243">
        <f t="shared" si="8"/>
        <v>0</v>
      </c>
      <c r="I79" s="231">
        <f t="shared" si="7"/>
        <v>0</v>
      </c>
    </row>
    <row r="80" spans="2:9" hidden="1" x14ac:dyDescent="0.25">
      <c r="B80" s="206" t="str">
        <f>B31</f>
        <v>Office expenses</v>
      </c>
      <c r="C80" s="207"/>
      <c r="D80" s="243">
        <f>D31</f>
        <v>198</v>
      </c>
      <c r="E80" s="243">
        <f>E31</f>
        <v>32.373000000000005</v>
      </c>
      <c r="F80" s="243">
        <f>F31</f>
        <v>35.286570000000005</v>
      </c>
      <c r="G80" s="243">
        <f>G31</f>
        <v>38.462361300000005</v>
      </c>
      <c r="H80" s="243">
        <f>H31</f>
        <v>41.923973817000004</v>
      </c>
      <c r="I80" s="231">
        <f t="shared" si="7"/>
        <v>346.04590511699996</v>
      </c>
    </row>
    <row r="81" spans="2:9" ht="15.75" hidden="1" thickBot="1" x14ac:dyDescent="0.3">
      <c r="B81" s="285" t="str">
        <f>B32</f>
        <v>Total Capital / Equipment</v>
      </c>
      <c r="C81" s="233"/>
      <c r="D81" s="246">
        <f>SUM(D76:D80)</f>
        <v>29698</v>
      </c>
      <c r="E81" s="246">
        <f>SUM(E76:E80)</f>
        <v>35506.423000000003</v>
      </c>
      <c r="F81" s="246">
        <f>SUM(F76:F80)</f>
        <v>112417.66557000001</v>
      </c>
      <c r="G81" s="246">
        <f>SUM(G76:G80)</f>
        <v>210526.00087630001</v>
      </c>
      <c r="H81" s="247">
        <f>SUM(H76:H80)</f>
        <v>667515.34617036709</v>
      </c>
      <c r="I81" s="235">
        <f t="shared" si="7"/>
        <v>1055663.4356166671</v>
      </c>
    </row>
    <row r="82" spans="2:9" hidden="1" x14ac:dyDescent="0.25">
      <c r="B82" s="248"/>
      <c r="C82" s="249"/>
      <c r="D82" s="250"/>
      <c r="E82" s="250"/>
      <c r="F82" s="250"/>
      <c r="G82" s="250"/>
      <c r="H82" s="250"/>
      <c r="I82" s="251"/>
    </row>
    <row r="83" spans="2:9" ht="16.5" hidden="1" thickBot="1" x14ac:dyDescent="0.3">
      <c r="B83" s="252" t="s">
        <v>221</v>
      </c>
      <c r="C83" s="253"/>
      <c r="D83" s="254">
        <f>D73+D81</f>
        <v>40280.199999999997</v>
      </c>
      <c r="E83" s="254">
        <f>E73+E81</f>
        <v>53440.091800000009</v>
      </c>
      <c r="F83" s="254">
        <f>F73+F81</f>
        <v>157346.38097400003</v>
      </c>
      <c r="G83" s="254">
        <f>G73+G81</f>
        <v>304007.9255827</v>
      </c>
      <c r="H83" s="254">
        <f>H73+H81</f>
        <v>888006.7660958292</v>
      </c>
      <c r="I83" s="255">
        <f>SUM(D83:H83)</f>
        <v>1443081.3644525292</v>
      </c>
    </row>
    <row r="84" spans="2:9" hidden="1" x14ac:dyDescent="0.25">
      <c r="B84" s="15"/>
      <c r="C84" s="15"/>
      <c r="D84" s="193"/>
      <c r="E84" s="193"/>
      <c r="F84" s="193"/>
      <c r="G84" s="193"/>
      <c r="H84" s="193"/>
      <c r="I84" s="193"/>
    </row>
    <row r="85" spans="2:9" ht="15.75" hidden="1" x14ac:dyDescent="0.25">
      <c r="B85" s="256" t="s">
        <v>242</v>
      </c>
      <c r="C85" s="257"/>
      <c r="D85" s="286">
        <v>0.201401</v>
      </c>
      <c r="E85" s="286">
        <v>0.13360022950000003</v>
      </c>
      <c r="F85" s="286">
        <v>0.15734638097400003</v>
      </c>
      <c r="G85" s="286">
        <v>0.15200396279135001</v>
      </c>
      <c r="H85" s="286">
        <v>0.17760135321916584</v>
      </c>
      <c r="I85" s="193"/>
    </row>
    <row r="86" spans="2:9" hidden="1" x14ac:dyDescent="0.25"/>
  </sheetData>
  <mergeCells count="2">
    <mergeCell ref="B40:C40"/>
    <mergeCell ref="D50:H50"/>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B1:B28"/>
  <sheetViews>
    <sheetView zoomScaleNormal="100" workbookViewId="0">
      <selection activeCell="F24" sqref="F24"/>
    </sheetView>
  </sheetViews>
  <sheetFormatPr defaultColWidth="8.7109375" defaultRowHeight="15" x14ac:dyDescent="0.25"/>
  <cols>
    <col min="1" max="1" width="1.42578125" style="315" customWidth="1"/>
    <col min="2" max="2" width="152.7109375" style="315" customWidth="1"/>
    <col min="3" max="16384" width="8.7109375" style="315"/>
  </cols>
  <sheetData>
    <row r="1" spans="2:2" ht="5.65" customHeight="1" x14ac:dyDescent="0.25"/>
    <row r="2" spans="2:2" x14ac:dyDescent="0.25">
      <c r="B2" s="429" t="s">
        <v>425</v>
      </c>
    </row>
    <row r="3" spans="2:2" ht="30" x14ac:dyDescent="0.25">
      <c r="B3" s="428" t="s">
        <v>426</v>
      </c>
    </row>
    <row r="4" spans="2:2" ht="30" x14ac:dyDescent="0.25">
      <c r="B4" s="431" t="s">
        <v>522</v>
      </c>
    </row>
    <row r="5" spans="2:2" ht="42.4" customHeight="1" x14ac:dyDescent="0.25">
      <c r="B5" s="431" t="s">
        <v>523</v>
      </c>
    </row>
    <row r="6" spans="2:2" x14ac:dyDescent="0.25">
      <c r="B6" s="426" t="s">
        <v>427</v>
      </c>
    </row>
    <row r="7" spans="2:2" x14ac:dyDescent="0.25">
      <c r="B7" s="426" t="s">
        <v>497</v>
      </c>
    </row>
    <row r="8" spans="2:2" x14ac:dyDescent="0.25">
      <c r="B8" s="426" t="s">
        <v>428</v>
      </c>
    </row>
    <row r="9" spans="2:2" ht="10.5" customHeight="1" x14ac:dyDescent="0.25"/>
    <row r="10" spans="2:2" x14ac:dyDescent="0.25">
      <c r="B10" s="438" t="s">
        <v>528</v>
      </c>
    </row>
    <row r="11" spans="2:2" x14ac:dyDescent="0.25">
      <c r="B11" s="439" t="s">
        <v>529</v>
      </c>
    </row>
    <row r="12" spans="2:2" x14ac:dyDescent="0.25">
      <c r="B12" s="439" t="s">
        <v>530</v>
      </c>
    </row>
    <row r="13" spans="2:2" x14ac:dyDescent="0.25">
      <c r="B13" s="439" t="s">
        <v>531</v>
      </c>
    </row>
    <row r="14" spans="2:2" x14ac:dyDescent="0.25">
      <c r="B14" s="439" t="s">
        <v>532</v>
      </c>
    </row>
    <row r="16" spans="2:2" x14ac:dyDescent="0.25">
      <c r="B16" s="433" t="s">
        <v>423</v>
      </c>
    </row>
    <row r="17" spans="2:2" x14ac:dyDescent="0.25">
      <c r="B17" s="432" t="s">
        <v>498</v>
      </c>
    </row>
    <row r="18" spans="2:2" x14ac:dyDescent="0.25">
      <c r="B18" s="432" t="s">
        <v>466</v>
      </c>
    </row>
    <row r="19" spans="2:2" x14ac:dyDescent="0.25">
      <c r="B19" s="434" t="s">
        <v>467</v>
      </c>
    </row>
    <row r="20" spans="2:2" x14ac:dyDescent="0.25">
      <c r="B20" s="434" t="s">
        <v>468</v>
      </c>
    </row>
    <row r="21" spans="2:2" x14ac:dyDescent="0.25">
      <c r="B21" s="434" t="s">
        <v>525</v>
      </c>
    </row>
    <row r="22" spans="2:2" x14ac:dyDescent="0.25">
      <c r="B22" s="434" t="s">
        <v>526</v>
      </c>
    </row>
    <row r="23" spans="2:2" x14ac:dyDescent="0.25">
      <c r="B23" s="432" t="s">
        <v>492</v>
      </c>
    </row>
    <row r="24" spans="2:2" x14ac:dyDescent="0.25">
      <c r="B24" s="434" t="s">
        <v>527</v>
      </c>
    </row>
    <row r="25" spans="2:2" x14ac:dyDescent="0.25">
      <c r="B25" s="432" t="s">
        <v>429</v>
      </c>
    </row>
    <row r="26" spans="2:2" x14ac:dyDescent="0.25">
      <c r="B26" s="432" t="s">
        <v>493</v>
      </c>
    </row>
    <row r="27" spans="2:2" x14ac:dyDescent="0.25">
      <c r="B27" s="432" t="s">
        <v>533</v>
      </c>
    </row>
    <row r="28" spans="2:2" x14ac:dyDescent="0.25">
      <c r="B28" s="432" t="s">
        <v>424</v>
      </c>
    </row>
  </sheetData>
  <hyperlinks>
    <hyperlink ref="B11" r:id="rId1" xr:uid="{00000000-0004-0000-2100-000000000000}"/>
    <hyperlink ref="B12" r:id="rId2" xr:uid="{00000000-0004-0000-2100-000001000000}"/>
    <hyperlink ref="B13" r:id="rId3" xr:uid="{00000000-0004-0000-2100-000002000000}"/>
    <hyperlink ref="B14" r:id="rId4" display="How to Calculate Total Lifetime Costs of Enterprise Software Solutions" xr:uid="{00000000-0004-0000-2100-000003000000}"/>
  </hyperlinks>
  <pageMargins left="0.7" right="0.7" top="0.75" bottom="0.75" header="0.3" footer="0.3"/>
  <pageSetup orientation="portrait" r:id="rId5"/>
  <drawing r:id="rId6"/>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1:K55"/>
  <sheetViews>
    <sheetView zoomScale="90" zoomScaleNormal="90" workbookViewId="0"/>
  </sheetViews>
  <sheetFormatPr defaultColWidth="8.7109375" defaultRowHeight="15" x14ac:dyDescent="0.25"/>
  <cols>
    <col min="1" max="1" width="45.7109375" bestFit="1" customWidth="1"/>
    <col min="2" max="2" width="1.28515625" style="315" customWidth="1"/>
    <col min="3" max="3" width="61.7109375" bestFit="1" customWidth="1"/>
    <col min="4" max="4" width="1.28515625" style="315" customWidth="1"/>
    <col min="5" max="5" width="27.28515625" bestFit="1" customWidth="1"/>
    <col min="6" max="6" width="1.28515625" style="315" customWidth="1"/>
    <col min="7" max="7" width="62.28515625" bestFit="1" customWidth="1"/>
    <col min="8" max="8" width="1.28515625" style="315" customWidth="1"/>
    <col min="9" max="9" width="37.28515625" bestFit="1" customWidth="1"/>
    <col min="10" max="10" width="1.28515625" style="315" customWidth="1"/>
    <col min="11" max="11" width="33.28515625" bestFit="1" customWidth="1"/>
  </cols>
  <sheetData>
    <row r="1" spans="1:11" x14ac:dyDescent="0.25">
      <c r="A1" s="302" t="s">
        <v>305</v>
      </c>
      <c r="C1" s="302" t="s">
        <v>306</v>
      </c>
      <c r="E1" s="302" t="s">
        <v>278</v>
      </c>
      <c r="G1" s="302" t="s">
        <v>340</v>
      </c>
      <c r="I1" s="302" t="s">
        <v>469</v>
      </c>
      <c r="K1" s="302" t="s">
        <v>318</v>
      </c>
    </row>
    <row r="2" spans="1:11" x14ac:dyDescent="0.25">
      <c r="A2" s="303" t="s">
        <v>307</v>
      </c>
      <c r="C2" s="304" t="s">
        <v>308</v>
      </c>
      <c r="E2" s="303" t="s">
        <v>279</v>
      </c>
      <c r="G2" s="303" t="s">
        <v>329</v>
      </c>
      <c r="I2" s="303" t="s">
        <v>470</v>
      </c>
      <c r="K2" s="287" t="s">
        <v>40</v>
      </c>
    </row>
    <row r="3" spans="1:11" x14ac:dyDescent="0.25">
      <c r="A3" s="310" t="s">
        <v>0</v>
      </c>
      <c r="C3" s="309" t="s">
        <v>5</v>
      </c>
      <c r="E3" s="312" t="s">
        <v>280</v>
      </c>
      <c r="G3" s="312" t="s">
        <v>330</v>
      </c>
      <c r="I3" s="312" t="s">
        <v>297</v>
      </c>
      <c r="K3" s="306" t="s">
        <v>319</v>
      </c>
    </row>
    <row r="4" spans="1:11" x14ac:dyDescent="0.25">
      <c r="A4" s="310" t="s">
        <v>2</v>
      </c>
      <c r="C4" s="313" t="s">
        <v>309</v>
      </c>
      <c r="E4" s="311" t="s">
        <v>281</v>
      </c>
      <c r="G4" s="312" t="s">
        <v>341</v>
      </c>
      <c r="I4" s="312" t="s">
        <v>294</v>
      </c>
      <c r="K4" s="287" t="s">
        <v>320</v>
      </c>
    </row>
    <row r="5" spans="1:11" x14ac:dyDescent="0.25">
      <c r="A5" s="310" t="s">
        <v>3</v>
      </c>
      <c r="C5" s="313" t="s">
        <v>188</v>
      </c>
      <c r="E5" s="311" t="s">
        <v>282</v>
      </c>
      <c r="G5" s="312" t="s">
        <v>342</v>
      </c>
      <c r="I5" s="312" t="s">
        <v>475</v>
      </c>
      <c r="K5" s="287" t="s">
        <v>321</v>
      </c>
    </row>
    <row r="6" spans="1:11" x14ac:dyDescent="0.25">
      <c r="A6" s="304" t="s">
        <v>296</v>
      </c>
      <c r="C6" s="313" t="s">
        <v>310</v>
      </c>
      <c r="E6" s="311" t="s">
        <v>283</v>
      </c>
      <c r="G6" s="312" t="s">
        <v>343</v>
      </c>
      <c r="I6" s="312" t="s">
        <v>476</v>
      </c>
      <c r="K6" s="287" t="s">
        <v>322</v>
      </c>
    </row>
    <row r="7" spans="1:11" x14ac:dyDescent="0.25">
      <c r="A7" s="309" t="s">
        <v>5</v>
      </c>
      <c r="C7" s="313" t="s">
        <v>312</v>
      </c>
      <c r="E7" s="312" t="s">
        <v>284</v>
      </c>
      <c r="G7" s="311" t="s">
        <v>336</v>
      </c>
      <c r="I7" s="312" t="s">
        <v>290</v>
      </c>
      <c r="K7" s="287" t="s">
        <v>332</v>
      </c>
    </row>
    <row r="8" spans="1:11" x14ac:dyDescent="0.25">
      <c r="A8" s="309" t="s">
        <v>7</v>
      </c>
      <c r="C8" s="305" t="s">
        <v>311</v>
      </c>
      <c r="E8" s="311" t="s">
        <v>281</v>
      </c>
      <c r="G8" s="312" t="s">
        <v>344</v>
      </c>
      <c r="I8" s="304" t="s">
        <v>296</v>
      </c>
      <c r="K8" s="287" t="s">
        <v>323</v>
      </c>
    </row>
    <row r="9" spans="1:11" x14ac:dyDescent="0.25">
      <c r="A9" s="309" t="s">
        <v>9</v>
      </c>
      <c r="C9" s="318" t="s">
        <v>313</v>
      </c>
      <c r="E9" s="311" t="s">
        <v>282</v>
      </c>
      <c r="G9" s="311" t="s">
        <v>331</v>
      </c>
      <c r="I9" s="309" t="s">
        <v>477</v>
      </c>
      <c r="K9" s="287" t="s">
        <v>324</v>
      </c>
    </row>
    <row r="10" spans="1:11" x14ac:dyDescent="0.25">
      <c r="A10" s="309" t="s">
        <v>11</v>
      </c>
      <c r="C10" s="318" t="s">
        <v>314</v>
      </c>
      <c r="E10" s="311" t="s">
        <v>283</v>
      </c>
      <c r="G10" s="311" t="s">
        <v>358</v>
      </c>
      <c r="I10" s="309" t="s">
        <v>478</v>
      </c>
      <c r="K10" s="287" t="s">
        <v>296</v>
      </c>
    </row>
    <row r="11" spans="1:11" x14ac:dyDescent="0.25">
      <c r="A11" s="309" t="s">
        <v>13</v>
      </c>
      <c r="C11" s="318" t="s">
        <v>167</v>
      </c>
      <c r="E11" s="312" t="s">
        <v>31</v>
      </c>
      <c r="G11" s="311" t="s">
        <v>355</v>
      </c>
      <c r="I11" s="309" t="s">
        <v>299</v>
      </c>
      <c r="K11" s="306" t="s">
        <v>325</v>
      </c>
    </row>
    <row r="12" spans="1:11" x14ac:dyDescent="0.25">
      <c r="A12" s="309" t="s">
        <v>15</v>
      </c>
      <c r="C12" s="318" t="s">
        <v>315</v>
      </c>
      <c r="E12" s="312" t="s">
        <v>285</v>
      </c>
      <c r="G12" s="311" t="s">
        <v>380</v>
      </c>
      <c r="I12" s="309" t="s">
        <v>479</v>
      </c>
      <c r="K12" s="306" t="s">
        <v>299</v>
      </c>
    </row>
    <row r="13" spans="1:11" x14ac:dyDescent="0.25">
      <c r="A13" s="304" t="s">
        <v>17</v>
      </c>
      <c r="C13" s="318" t="s">
        <v>316</v>
      </c>
      <c r="E13" s="311" t="s">
        <v>290</v>
      </c>
      <c r="G13" s="311" t="s">
        <v>337</v>
      </c>
      <c r="I13" s="425" t="s">
        <v>11</v>
      </c>
      <c r="K13" s="287" t="s">
        <v>301</v>
      </c>
    </row>
    <row r="14" spans="1:11" x14ac:dyDescent="0.25">
      <c r="A14" s="305" t="s">
        <v>301</v>
      </c>
      <c r="C14" s="318" t="s">
        <v>317</v>
      </c>
      <c r="E14" s="311" t="s">
        <v>291</v>
      </c>
      <c r="G14" s="311" t="s">
        <v>379</v>
      </c>
      <c r="I14" s="309" t="s">
        <v>480</v>
      </c>
      <c r="K14" s="287" t="s">
        <v>326</v>
      </c>
    </row>
    <row r="15" spans="1:11" x14ac:dyDescent="0.25">
      <c r="A15" s="318" t="s">
        <v>19</v>
      </c>
      <c r="E15" s="312" t="s">
        <v>286</v>
      </c>
      <c r="G15" s="311" t="s">
        <v>381</v>
      </c>
      <c r="I15" s="304" t="s">
        <v>471</v>
      </c>
      <c r="K15" s="287" t="s">
        <v>327</v>
      </c>
    </row>
    <row r="16" spans="1:11" x14ac:dyDescent="0.25">
      <c r="A16" s="318" t="s">
        <v>21</v>
      </c>
      <c r="E16" s="311" t="s">
        <v>288</v>
      </c>
      <c r="G16" s="314" t="s">
        <v>345</v>
      </c>
      <c r="I16" s="305" t="s">
        <v>472</v>
      </c>
      <c r="K16" s="287" t="s">
        <v>328</v>
      </c>
    </row>
    <row r="17" spans="1:9" x14ac:dyDescent="0.25">
      <c r="A17" s="318" t="s">
        <v>23</v>
      </c>
      <c r="E17" s="311" t="s">
        <v>289</v>
      </c>
      <c r="G17" s="313" t="s">
        <v>376</v>
      </c>
      <c r="I17" s="318" t="s">
        <v>481</v>
      </c>
    </row>
    <row r="18" spans="1:9" x14ac:dyDescent="0.25">
      <c r="A18" s="318" t="s">
        <v>25</v>
      </c>
      <c r="E18" s="312" t="s">
        <v>287</v>
      </c>
      <c r="G18" s="313" t="s">
        <v>377</v>
      </c>
      <c r="I18" s="318" t="s">
        <v>482</v>
      </c>
    </row>
    <row r="19" spans="1:9" x14ac:dyDescent="0.25">
      <c r="A19" s="318" t="s">
        <v>27</v>
      </c>
      <c r="E19" s="307" t="s">
        <v>292</v>
      </c>
      <c r="G19" s="313" t="s">
        <v>378</v>
      </c>
      <c r="I19" s="318" t="s">
        <v>483</v>
      </c>
    </row>
    <row r="20" spans="1:9" x14ac:dyDescent="0.25">
      <c r="A20" s="318" t="s">
        <v>29</v>
      </c>
      <c r="E20" s="312" t="s">
        <v>293</v>
      </c>
      <c r="G20" s="313" t="s">
        <v>333</v>
      </c>
      <c r="I20" s="318" t="s">
        <v>484</v>
      </c>
    </row>
    <row r="21" spans="1:9" x14ac:dyDescent="0.25">
      <c r="A21" s="318" t="s">
        <v>31</v>
      </c>
      <c r="E21" s="311" t="s">
        <v>294</v>
      </c>
      <c r="G21" s="313" t="s">
        <v>288</v>
      </c>
      <c r="I21" s="318" t="s">
        <v>35</v>
      </c>
    </row>
    <row r="22" spans="1:9" x14ac:dyDescent="0.25">
      <c r="A22" s="318" t="s">
        <v>33</v>
      </c>
      <c r="E22" s="311" t="s">
        <v>295</v>
      </c>
      <c r="G22" s="314" t="s">
        <v>346</v>
      </c>
      <c r="I22" s="318" t="s">
        <v>485</v>
      </c>
    </row>
    <row r="23" spans="1:9" x14ac:dyDescent="0.25">
      <c r="A23" s="318" t="s">
        <v>35</v>
      </c>
      <c r="E23" s="314" t="s">
        <v>296</v>
      </c>
      <c r="G23" s="313" t="s">
        <v>375</v>
      </c>
      <c r="I23" s="318" t="s">
        <v>486</v>
      </c>
    </row>
    <row r="24" spans="1:9" x14ac:dyDescent="0.25">
      <c r="A24" s="318" t="s">
        <v>0</v>
      </c>
      <c r="E24" s="313" t="s">
        <v>5</v>
      </c>
      <c r="G24" s="313" t="s">
        <v>374</v>
      </c>
      <c r="I24" s="318" t="s">
        <v>487</v>
      </c>
    </row>
    <row r="25" spans="1:9" x14ac:dyDescent="0.25">
      <c r="A25" s="318" t="s">
        <v>38</v>
      </c>
      <c r="E25" s="313" t="s">
        <v>297</v>
      </c>
      <c r="G25" s="314" t="s">
        <v>299</v>
      </c>
      <c r="I25" s="287" t="s">
        <v>473</v>
      </c>
    </row>
    <row r="26" spans="1:9" x14ac:dyDescent="0.25">
      <c r="A26" s="318" t="s">
        <v>40</v>
      </c>
      <c r="E26" s="313" t="s">
        <v>9</v>
      </c>
      <c r="G26" s="313" t="s">
        <v>370</v>
      </c>
      <c r="I26" s="290" t="s">
        <v>474</v>
      </c>
    </row>
    <row r="27" spans="1:9" x14ac:dyDescent="0.25">
      <c r="A27" s="318" t="s">
        <v>42</v>
      </c>
      <c r="E27" s="313" t="s">
        <v>299</v>
      </c>
      <c r="G27" s="313" t="s">
        <v>371</v>
      </c>
      <c r="I27" s="290" t="s">
        <v>40</v>
      </c>
    </row>
    <row r="28" spans="1:9" x14ac:dyDescent="0.25">
      <c r="A28" s="318" t="s">
        <v>44</v>
      </c>
      <c r="E28" s="313" t="s">
        <v>298</v>
      </c>
      <c r="G28" s="313" t="s">
        <v>372</v>
      </c>
    </row>
    <row r="29" spans="1:9" x14ac:dyDescent="0.25">
      <c r="E29" s="313" t="s">
        <v>33</v>
      </c>
      <c r="G29" s="313" t="s">
        <v>373</v>
      </c>
    </row>
    <row r="30" spans="1:9" x14ac:dyDescent="0.25">
      <c r="E30" s="316" t="s">
        <v>300</v>
      </c>
      <c r="G30" s="308" t="s">
        <v>334</v>
      </c>
    </row>
    <row r="31" spans="1:9" x14ac:dyDescent="0.25">
      <c r="E31" s="317" t="s">
        <v>15</v>
      </c>
      <c r="G31" s="307" t="s">
        <v>347</v>
      </c>
    </row>
    <row r="32" spans="1:9" x14ac:dyDescent="0.25">
      <c r="E32" s="317" t="s">
        <v>299</v>
      </c>
      <c r="G32" s="316" t="s">
        <v>348</v>
      </c>
    </row>
    <row r="33" spans="1:7" x14ac:dyDescent="0.25">
      <c r="E33" s="316" t="s">
        <v>301</v>
      </c>
      <c r="G33" s="317" t="s">
        <v>354</v>
      </c>
    </row>
    <row r="34" spans="1:7" x14ac:dyDescent="0.25">
      <c r="E34" s="317" t="s">
        <v>302</v>
      </c>
      <c r="G34" s="317" t="s">
        <v>355</v>
      </c>
    </row>
    <row r="35" spans="1:7" x14ac:dyDescent="0.25">
      <c r="E35" s="317" t="s">
        <v>303</v>
      </c>
      <c r="G35" s="317" t="s">
        <v>356</v>
      </c>
    </row>
    <row r="36" spans="1:7" x14ac:dyDescent="0.25">
      <c r="E36" s="317" t="s">
        <v>297</v>
      </c>
      <c r="G36" s="317" t="s">
        <v>357</v>
      </c>
    </row>
    <row r="37" spans="1:7" x14ac:dyDescent="0.25">
      <c r="E37" s="317" t="s">
        <v>304</v>
      </c>
      <c r="G37" s="317" t="s">
        <v>351</v>
      </c>
    </row>
    <row r="38" spans="1:7" x14ac:dyDescent="0.25">
      <c r="E38" s="317" t="s">
        <v>31</v>
      </c>
      <c r="G38" s="317" t="s">
        <v>338</v>
      </c>
    </row>
    <row r="39" spans="1:7" x14ac:dyDescent="0.25">
      <c r="E39" s="316" t="s">
        <v>287</v>
      </c>
      <c r="G39" s="317" t="s">
        <v>369</v>
      </c>
    </row>
    <row r="40" spans="1:7" x14ac:dyDescent="0.25">
      <c r="E40" s="317" t="s">
        <v>42</v>
      </c>
      <c r="G40" s="316" t="s">
        <v>358</v>
      </c>
    </row>
    <row r="41" spans="1:7" x14ac:dyDescent="0.25">
      <c r="E41" s="317" t="s">
        <v>44</v>
      </c>
      <c r="G41" s="317" t="s">
        <v>359</v>
      </c>
    </row>
    <row r="42" spans="1:7" x14ac:dyDescent="0.25">
      <c r="A42" s="290"/>
      <c r="E42" s="290"/>
      <c r="G42" s="317" t="s">
        <v>360</v>
      </c>
    </row>
    <row r="43" spans="1:7" x14ac:dyDescent="0.25">
      <c r="A43" s="290"/>
      <c r="E43" s="290"/>
      <c r="G43" s="316" t="s">
        <v>349</v>
      </c>
    </row>
    <row r="44" spans="1:7" x14ac:dyDescent="0.25">
      <c r="G44" s="317" t="s">
        <v>294</v>
      </c>
    </row>
    <row r="45" spans="1:7" x14ac:dyDescent="0.25">
      <c r="G45" s="317" t="s">
        <v>339</v>
      </c>
    </row>
    <row r="46" spans="1:7" x14ac:dyDescent="0.25">
      <c r="G46" s="317" t="s">
        <v>361</v>
      </c>
    </row>
    <row r="47" spans="1:7" x14ac:dyDescent="0.25">
      <c r="G47" s="317" t="s">
        <v>362</v>
      </c>
    </row>
    <row r="48" spans="1:7" x14ac:dyDescent="0.25">
      <c r="G48" s="316" t="s">
        <v>335</v>
      </c>
    </row>
    <row r="49" spans="7:7" x14ac:dyDescent="0.25">
      <c r="G49" s="317" t="s">
        <v>363</v>
      </c>
    </row>
    <row r="50" spans="7:7" x14ac:dyDescent="0.25">
      <c r="G50" s="317" t="s">
        <v>364</v>
      </c>
    </row>
    <row r="51" spans="7:7" x14ac:dyDescent="0.25">
      <c r="G51" s="317" t="s">
        <v>365</v>
      </c>
    </row>
    <row r="52" spans="7:7" x14ac:dyDescent="0.25">
      <c r="G52" s="317" t="s">
        <v>366</v>
      </c>
    </row>
    <row r="53" spans="7:7" x14ac:dyDescent="0.25">
      <c r="G53" s="316" t="s">
        <v>350</v>
      </c>
    </row>
    <row r="54" spans="7:7" x14ac:dyDescent="0.25">
      <c r="G54" s="317" t="s">
        <v>368</v>
      </c>
    </row>
    <row r="55" spans="7:7" x14ac:dyDescent="0.25">
      <c r="G55" s="317" t="s">
        <v>367</v>
      </c>
    </row>
  </sheetData>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K83"/>
  <sheetViews>
    <sheetView zoomScale="83" zoomScaleNormal="115" workbookViewId="0">
      <selection activeCell="G83" sqref="G83"/>
    </sheetView>
  </sheetViews>
  <sheetFormatPr defaultColWidth="8.7109375" defaultRowHeight="15" x14ac:dyDescent="0.25"/>
  <cols>
    <col min="1" max="1" width="10.28515625" bestFit="1" customWidth="1"/>
    <col min="2" max="2" width="30.28515625" customWidth="1"/>
    <col min="3" max="3" width="11.7109375" bestFit="1" customWidth="1"/>
    <col min="4" max="4" width="16.7109375" bestFit="1" customWidth="1"/>
    <col min="5" max="5" width="8.28515625" bestFit="1" customWidth="1"/>
    <col min="6" max="6" width="15.28515625" bestFit="1" customWidth="1"/>
    <col min="7" max="7" width="8.28515625" bestFit="1" customWidth="1"/>
    <col min="8" max="8" width="10.7109375" bestFit="1" customWidth="1"/>
    <col min="9" max="9" width="10.28515625" customWidth="1"/>
    <col min="10" max="10" width="10.7109375" bestFit="1" customWidth="1"/>
    <col min="11" max="11" width="144.28515625" style="288" customWidth="1"/>
  </cols>
  <sheetData>
    <row r="1" spans="1:11" x14ac:dyDescent="0.25">
      <c r="A1" t="s">
        <v>534</v>
      </c>
      <c r="B1" t="s">
        <v>535</v>
      </c>
      <c r="C1" t="s">
        <v>265</v>
      </c>
      <c r="D1" t="s">
        <v>536</v>
      </c>
      <c r="E1" t="s">
        <v>463</v>
      </c>
      <c r="F1" t="s">
        <v>537</v>
      </c>
      <c r="G1" t="s">
        <v>463</v>
      </c>
      <c r="H1" t="s">
        <v>301</v>
      </c>
      <c r="I1" t="s">
        <v>463</v>
      </c>
      <c r="J1" t="s">
        <v>538</v>
      </c>
    </row>
    <row r="2" spans="1:11" x14ac:dyDescent="0.25">
      <c r="A2" t="s">
        <v>305</v>
      </c>
      <c r="B2" s="463" t="s">
        <v>539</v>
      </c>
      <c r="C2" t="s">
        <v>53</v>
      </c>
      <c r="D2" s="464">
        <v>1793578</v>
      </c>
      <c r="E2" s="465">
        <f>D2/J2</f>
        <v>0.37541456545168245</v>
      </c>
      <c r="F2" s="464">
        <v>751000</v>
      </c>
      <c r="G2" s="465">
        <f>F2/J2</f>
        <v>0.15719212582570344</v>
      </c>
      <c r="H2" s="464">
        <v>2233015</v>
      </c>
      <c r="I2" s="465">
        <f>H2/J2</f>
        <v>0.46739330872261409</v>
      </c>
      <c r="J2" s="464">
        <v>4777593</v>
      </c>
      <c r="K2" s="469"/>
    </row>
    <row r="3" spans="1:11" x14ac:dyDescent="0.25">
      <c r="A3" t="s">
        <v>305</v>
      </c>
      <c r="B3" s="463" t="s">
        <v>539</v>
      </c>
      <c r="C3" t="s">
        <v>54</v>
      </c>
      <c r="D3" s="464">
        <v>221760</v>
      </c>
      <c r="E3" s="465">
        <f>D3/J3</f>
        <v>7.1770009741510155E-2</v>
      </c>
      <c r="F3" s="464">
        <f>418300+695060</f>
        <v>1113360</v>
      </c>
      <c r="G3" s="465">
        <f>F3/J3</f>
        <v>0.36032583895115328</v>
      </c>
      <c r="H3" s="464">
        <v>1754750</v>
      </c>
      <c r="I3" s="465">
        <f>H3/J3</f>
        <v>0.56790415130733651</v>
      </c>
      <c r="J3" s="464">
        <v>3089870</v>
      </c>
      <c r="K3" s="469"/>
    </row>
    <row r="4" spans="1:11" x14ac:dyDescent="0.25">
      <c r="A4" t="s">
        <v>305</v>
      </c>
      <c r="B4" s="463" t="s">
        <v>539</v>
      </c>
      <c r="C4" t="s">
        <v>55</v>
      </c>
      <c r="D4" s="464">
        <v>311978</v>
      </c>
      <c r="E4" s="465">
        <f>D4/J4</f>
        <v>0.16307501718419629</v>
      </c>
      <c r="F4" s="464">
        <v>175257</v>
      </c>
      <c r="G4" s="465">
        <f>F4/J4</f>
        <v>9.1609146435488051E-2</v>
      </c>
      <c r="H4" s="464">
        <v>1425860</v>
      </c>
      <c r="I4" s="465">
        <f>H4/J4</f>
        <v>0.74531583638031562</v>
      </c>
      <c r="J4" s="464">
        <v>1913095</v>
      </c>
      <c r="K4" s="469"/>
    </row>
    <row r="5" spans="1:11" x14ac:dyDescent="0.25">
      <c r="A5" t="s">
        <v>305</v>
      </c>
      <c r="B5" s="463" t="s">
        <v>539</v>
      </c>
      <c r="C5" t="s">
        <v>56</v>
      </c>
      <c r="D5" s="464">
        <v>535586</v>
      </c>
      <c r="E5" s="465">
        <f>D5/J5</f>
        <v>0.35129607765971405</v>
      </c>
      <c r="F5" s="464">
        <v>78351</v>
      </c>
      <c r="G5" s="465">
        <f>F5/J5</f>
        <v>5.1391184573002756E-2</v>
      </c>
      <c r="H5" s="464">
        <v>910663</v>
      </c>
      <c r="I5" s="465">
        <f>H5/J5</f>
        <v>0.59731273776728322</v>
      </c>
      <c r="J5" s="464">
        <v>1524600</v>
      </c>
      <c r="K5" s="469"/>
    </row>
    <row r="6" spans="1:11" x14ac:dyDescent="0.25">
      <c r="A6" t="s">
        <v>305</v>
      </c>
      <c r="B6" s="463" t="s">
        <v>539</v>
      </c>
      <c r="C6" t="s">
        <v>57</v>
      </c>
      <c r="D6" t="s">
        <v>70</v>
      </c>
      <c r="E6" t="s">
        <v>70</v>
      </c>
      <c r="F6" t="s">
        <v>70</v>
      </c>
      <c r="G6" t="s">
        <v>70</v>
      </c>
      <c r="H6" s="464">
        <v>2978209</v>
      </c>
      <c r="I6" t="s">
        <v>70</v>
      </c>
      <c r="J6" s="464">
        <v>2978209</v>
      </c>
    </row>
    <row r="7" spans="1:11" ht="30" x14ac:dyDescent="0.25">
      <c r="A7" t="s">
        <v>306</v>
      </c>
      <c r="B7" s="466" t="s">
        <v>540</v>
      </c>
      <c r="C7" t="s">
        <v>541</v>
      </c>
      <c r="H7" s="464">
        <v>1443081.3644525292</v>
      </c>
      <c r="I7" t="s">
        <v>70</v>
      </c>
      <c r="J7" s="464">
        <v>1443081.3644525292</v>
      </c>
      <c r="K7" s="468" t="s">
        <v>542</v>
      </c>
    </row>
    <row r="8" spans="1:11" ht="30" x14ac:dyDescent="0.25">
      <c r="A8" t="s">
        <v>306</v>
      </c>
      <c r="B8" s="466" t="s">
        <v>543</v>
      </c>
      <c r="C8" t="s">
        <v>54</v>
      </c>
      <c r="H8" s="464">
        <v>1624628</v>
      </c>
      <c r="I8" t="s">
        <v>70</v>
      </c>
      <c r="J8" s="464">
        <v>1624628</v>
      </c>
      <c r="K8" s="468" t="s">
        <v>552</v>
      </c>
    </row>
    <row r="9" spans="1:11" x14ac:dyDescent="0.25">
      <c r="A9" t="s">
        <v>544</v>
      </c>
      <c r="B9" s="463" t="s">
        <v>545</v>
      </c>
      <c r="C9" t="s">
        <v>70</v>
      </c>
      <c r="D9" s="464">
        <f>45000+211490</f>
        <v>256490</v>
      </c>
      <c r="E9" s="465">
        <f>D9/J9</f>
        <v>0.14362702331608249</v>
      </c>
      <c r="F9" s="464">
        <f>183720+8400+14000</f>
        <v>206120</v>
      </c>
      <c r="G9" s="465">
        <f>F9/J9</f>
        <v>0.11542127196347196</v>
      </c>
      <c r="H9" s="464">
        <f>J9-F9-D9</f>
        <v>1323196</v>
      </c>
      <c r="I9" s="465">
        <f>H9/J9</f>
        <v>0.74095170472044558</v>
      </c>
      <c r="J9" s="464">
        <v>1785806</v>
      </c>
      <c r="K9" s="468" t="s">
        <v>546</v>
      </c>
    </row>
    <row r="10" spans="1:11" ht="75" x14ac:dyDescent="0.25">
      <c r="A10" t="s">
        <v>547</v>
      </c>
      <c r="B10" s="463" t="s">
        <v>548</v>
      </c>
      <c r="C10" t="s">
        <v>549</v>
      </c>
      <c r="D10" s="464">
        <v>173000</v>
      </c>
      <c r="E10" s="465">
        <f>D10/J10</f>
        <v>0.11564171122994653</v>
      </c>
      <c r="F10" s="464">
        <v>91000</v>
      </c>
      <c r="G10" s="465">
        <f>F10/J10</f>
        <v>6.0828877005347594E-2</v>
      </c>
      <c r="H10" s="464">
        <f>(335-81+240+251+247+240)*1000</f>
        <v>1232000</v>
      </c>
      <c r="I10" s="465">
        <f>H10/J10</f>
        <v>0.82352941176470584</v>
      </c>
      <c r="J10" s="464">
        <v>1496000</v>
      </c>
      <c r="K10" s="470" t="s">
        <v>578</v>
      </c>
    </row>
    <row r="11" spans="1:11" ht="30" x14ac:dyDescent="0.25">
      <c r="A11" t="s">
        <v>550</v>
      </c>
      <c r="B11" s="463" t="s">
        <v>551</v>
      </c>
      <c r="D11" s="464">
        <v>195000</v>
      </c>
      <c r="E11" s="465">
        <f>D11/J11</f>
        <v>0.14772727272727273</v>
      </c>
      <c r="F11" s="464">
        <v>600000</v>
      </c>
      <c r="G11" s="465">
        <f>F11/J11</f>
        <v>0.45454545454545453</v>
      </c>
      <c r="H11" s="464">
        <v>525000</v>
      </c>
      <c r="I11" s="465">
        <f>H11/J11</f>
        <v>0.39772727272727271</v>
      </c>
      <c r="J11" s="464">
        <f>SUM(D11,F11,H11)</f>
        <v>1320000</v>
      </c>
      <c r="K11" s="468" t="s">
        <v>553</v>
      </c>
    </row>
    <row r="12" spans="1:11" ht="9" customHeight="1" x14ac:dyDescent="0.25">
      <c r="A12" s="467"/>
      <c r="B12" s="467"/>
      <c r="C12" s="467"/>
      <c r="D12" s="467"/>
      <c r="E12" s="467"/>
      <c r="F12" s="467"/>
      <c r="G12" s="467"/>
      <c r="H12" s="467"/>
      <c r="I12" s="467"/>
      <c r="J12" s="467"/>
    </row>
    <row r="13" spans="1:11" ht="60" x14ac:dyDescent="0.25">
      <c r="A13" t="s">
        <v>554</v>
      </c>
      <c r="B13" s="466" t="s">
        <v>564</v>
      </c>
      <c r="C13" t="s">
        <v>53</v>
      </c>
      <c r="J13" s="464">
        <f>SUM(D14,F15,H16)</f>
        <v>34270000</v>
      </c>
      <c r="K13" s="468" t="s">
        <v>555</v>
      </c>
    </row>
    <row r="14" spans="1:11" ht="30" x14ac:dyDescent="0.25">
      <c r="D14" s="464">
        <f>1170000+380000+100000</f>
        <v>1650000</v>
      </c>
      <c r="E14" s="465">
        <f>D14/J13</f>
        <v>4.8147067405894368E-2</v>
      </c>
      <c r="K14" s="468" t="s">
        <v>556</v>
      </c>
    </row>
    <row r="15" spans="1:11" ht="75" x14ac:dyDescent="0.25">
      <c r="F15" s="464">
        <f>830000+520000+80000+470000+14090000</f>
        <v>15990000</v>
      </c>
      <c r="G15" s="465">
        <f>F15/J13</f>
        <v>0.46658885322439453</v>
      </c>
      <c r="H15" s="464"/>
      <c r="K15" s="468" t="s">
        <v>558</v>
      </c>
    </row>
    <row r="16" spans="1:11" ht="30" x14ac:dyDescent="0.25">
      <c r="F16" s="464"/>
      <c r="H16" s="464">
        <f>30000+60000+8120000+8420000</f>
        <v>16630000</v>
      </c>
      <c r="I16" s="465">
        <f>H16/J13</f>
        <v>0.48526407936971111</v>
      </c>
      <c r="K16" s="468" t="s">
        <v>557</v>
      </c>
    </row>
    <row r="17" spans="2:11" ht="45" x14ac:dyDescent="0.25">
      <c r="B17" s="466" t="s">
        <v>563</v>
      </c>
      <c r="C17" t="s">
        <v>53</v>
      </c>
      <c r="J17" s="464">
        <f>SUM(D18,F19,H20)</f>
        <v>13050000</v>
      </c>
      <c r="K17" s="468" t="s">
        <v>559</v>
      </c>
    </row>
    <row r="18" spans="2:11" ht="45" x14ac:dyDescent="0.25">
      <c r="D18" s="464">
        <f>150000+170000+560000+40000</f>
        <v>920000</v>
      </c>
      <c r="E18" s="465">
        <f>D18/J17</f>
        <v>7.0498084291187743E-2</v>
      </c>
      <c r="K18" s="468" t="s">
        <v>561</v>
      </c>
    </row>
    <row r="19" spans="2:11" ht="45" x14ac:dyDescent="0.25">
      <c r="F19" s="464">
        <f>110000+1340000+2980000+6470000+30000</f>
        <v>10930000</v>
      </c>
      <c r="G19" s="465">
        <f>F19/J17</f>
        <v>0.8375478927203065</v>
      </c>
      <c r="K19" s="468" t="s">
        <v>562</v>
      </c>
    </row>
    <row r="20" spans="2:11" ht="30" x14ac:dyDescent="0.25">
      <c r="H20" s="464">
        <v>1200000</v>
      </c>
      <c r="I20" s="465">
        <f>H20/J17</f>
        <v>9.1954022988505746E-2</v>
      </c>
      <c r="K20" s="468" t="s">
        <v>560</v>
      </c>
    </row>
    <row r="21" spans="2:11" ht="75" x14ac:dyDescent="0.25">
      <c r="B21" s="466" t="s">
        <v>571</v>
      </c>
      <c r="C21" t="s">
        <v>53</v>
      </c>
      <c r="J21" s="464">
        <f>SUM(D22,F23)</f>
        <v>1400000</v>
      </c>
      <c r="K21" s="468" t="s">
        <v>575</v>
      </c>
    </row>
    <row r="22" spans="2:11" ht="30" x14ac:dyDescent="0.25">
      <c r="D22" s="464">
        <f>120000+60000+260000</f>
        <v>440000</v>
      </c>
      <c r="E22" s="465">
        <f>D22/J21</f>
        <v>0.31428571428571428</v>
      </c>
      <c r="K22" s="468" t="s">
        <v>565</v>
      </c>
    </row>
    <row r="23" spans="2:11" ht="30" x14ac:dyDescent="0.25">
      <c r="F23" s="464">
        <f>30000+60000+170000+230000+470000</f>
        <v>960000</v>
      </c>
      <c r="G23" s="465">
        <f>F23/J21</f>
        <v>0.68571428571428572</v>
      </c>
      <c r="K23" s="468" t="s">
        <v>566</v>
      </c>
    </row>
    <row r="24" spans="2:11" x14ac:dyDescent="0.25">
      <c r="H24" t="s">
        <v>70</v>
      </c>
      <c r="I24" t="s">
        <v>70</v>
      </c>
    </row>
    <row r="25" spans="2:11" ht="45" x14ac:dyDescent="0.25">
      <c r="B25" s="466" t="s">
        <v>567</v>
      </c>
      <c r="C25" t="s">
        <v>53</v>
      </c>
      <c r="J25" s="464">
        <f>SUM(D26,F27)</f>
        <v>1020000</v>
      </c>
      <c r="K25" s="468" t="s">
        <v>574</v>
      </c>
    </row>
    <row r="26" spans="2:11" x14ac:dyDescent="0.25">
      <c r="D26" s="464">
        <f>240000+30000</f>
        <v>270000</v>
      </c>
      <c r="E26" s="465">
        <f>D26/J25</f>
        <v>0.26470588235294118</v>
      </c>
      <c r="K26" s="468" t="s">
        <v>569</v>
      </c>
    </row>
    <row r="27" spans="2:11" ht="30" x14ac:dyDescent="0.25">
      <c r="F27" s="464">
        <f>170000+30000+90000+30000+30000+400000</f>
        <v>750000</v>
      </c>
      <c r="G27" s="465">
        <f>F27/J25</f>
        <v>0.73529411764705888</v>
      </c>
      <c r="K27" s="468" t="s">
        <v>570</v>
      </c>
    </row>
    <row r="28" spans="2:11" x14ac:dyDescent="0.25">
      <c r="H28" t="s">
        <v>70</v>
      </c>
      <c r="I28" t="s">
        <v>70</v>
      </c>
    </row>
    <row r="29" spans="2:11" ht="60" x14ac:dyDescent="0.25">
      <c r="B29" s="466" t="s">
        <v>572</v>
      </c>
      <c r="C29" t="s">
        <v>53</v>
      </c>
      <c r="J29" s="464">
        <f>SUM(D30,F31,H32)</f>
        <v>1180000</v>
      </c>
      <c r="K29" s="468" t="s">
        <v>568</v>
      </c>
    </row>
    <row r="30" spans="2:11" x14ac:dyDescent="0.25">
      <c r="D30" s="464">
        <f>230000+300000</f>
        <v>530000</v>
      </c>
      <c r="E30" s="465">
        <f>D30/J29</f>
        <v>0.44915254237288138</v>
      </c>
      <c r="K30" s="468" t="s">
        <v>576</v>
      </c>
    </row>
    <row r="31" spans="2:11" ht="30" x14ac:dyDescent="0.25">
      <c r="F31" s="464">
        <f>170000+10000+30000+30000+340000</f>
        <v>580000</v>
      </c>
      <c r="G31" s="465">
        <f>F31/J29</f>
        <v>0.49152542372881358</v>
      </c>
      <c r="K31" s="468" t="s">
        <v>577</v>
      </c>
    </row>
    <row r="32" spans="2:11" x14ac:dyDescent="0.25">
      <c r="H32" s="464">
        <v>70000</v>
      </c>
      <c r="I32" s="465">
        <f>H32/J29</f>
        <v>5.9322033898305086E-2</v>
      </c>
      <c r="K32" s="468" t="s">
        <v>573</v>
      </c>
    </row>
    <row r="33" spans="2:11" ht="45" x14ac:dyDescent="0.25">
      <c r="B33" s="466" t="s">
        <v>598</v>
      </c>
      <c r="C33" t="s">
        <v>579</v>
      </c>
      <c r="J33" s="464">
        <f>SUM(D34,F35,H36)</f>
        <v>1470000</v>
      </c>
      <c r="K33" s="468" t="s">
        <v>580</v>
      </c>
    </row>
    <row r="34" spans="2:11" x14ac:dyDescent="0.25">
      <c r="D34" s="464">
        <f>180000+140000</f>
        <v>320000</v>
      </c>
      <c r="E34" s="465">
        <f>D34/J33</f>
        <v>0.21768707482993196</v>
      </c>
      <c r="K34" s="468" t="s">
        <v>587</v>
      </c>
    </row>
    <row r="35" spans="2:11" x14ac:dyDescent="0.25">
      <c r="F35" s="464">
        <f>310000+790000</f>
        <v>1100000</v>
      </c>
      <c r="G35" s="465">
        <f>F35/J33</f>
        <v>0.74829931972789121</v>
      </c>
      <c r="H35" s="464"/>
      <c r="K35" s="468" t="s">
        <v>588</v>
      </c>
    </row>
    <row r="36" spans="2:11" x14ac:dyDescent="0.25">
      <c r="F36" s="464"/>
      <c r="H36" s="464">
        <v>50000</v>
      </c>
      <c r="I36" s="465">
        <f>H36/J33</f>
        <v>3.4013605442176874E-2</v>
      </c>
      <c r="K36" s="468" t="s">
        <v>581</v>
      </c>
    </row>
    <row r="37" spans="2:11" ht="60" x14ac:dyDescent="0.25">
      <c r="B37" s="466" t="s">
        <v>599</v>
      </c>
      <c r="C37" t="s">
        <v>53</v>
      </c>
      <c r="J37" s="464">
        <f>SUM(D38,F39)</f>
        <v>410000</v>
      </c>
      <c r="K37" s="468" t="s">
        <v>575</v>
      </c>
    </row>
    <row r="38" spans="2:11" x14ac:dyDescent="0.25">
      <c r="D38" s="464">
        <v>230000</v>
      </c>
      <c r="E38" s="465">
        <f>D38/J37</f>
        <v>0.56097560975609762</v>
      </c>
      <c r="K38" s="468" t="s">
        <v>582</v>
      </c>
    </row>
    <row r="39" spans="2:11" x14ac:dyDescent="0.25">
      <c r="F39" s="464">
        <f>10000+10000+160000</f>
        <v>180000</v>
      </c>
      <c r="G39" s="465">
        <f>F39/J37</f>
        <v>0.43902439024390244</v>
      </c>
      <c r="K39" s="468" t="s">
        <v>583</v>
      </c>
    </row>
    <row r="40" spans="2:11" x14ac:dyDescent="0.25">
      <c r="H40" t="s">
        <v>70</v>
      </c>
      <c r="I40" t="s">
        <v>70</v>
      </c>
    </row>
    <row r="41" spans="2:11" ht="30" x14ac:dyDescent="0.25">
      <c r="B41" s="466" t="s">
        <v>600</v>
      </c>
      <c r="C41" t="s">
        <v>53</v>
      </c>
      <c r="J41" s="464">
        <f>SUM(D42,F43)</f>
        <v>6910000</v>
      </c>
      <c r="K41" s="468" t="s">
        <v>584</v>
      </c>
    </row>
    <row r="42" spans="2:11" ht="30" x14ac:dyDescent="0.25">
      <c r="D42" s="464">
        <f>70000+120000+1950000</f>
        <v>2140000</v>
      </c>
      <c r="E42" s="465">
        <f>D42/J41</f>
        <v>0.30969609261939218</v>
      </c>
      <c r="K42" s="468" t="s">
        <v>585</v>
      </c>
    </row>
    <row r="43" spans="2:11" ht="30" x14ac:dyDescent="0.25">
      <c r="F43" s="464">
        <f>2240000+1820000+130000+30000+550000</f>
        <v>4770000</v>
      </c>
      <c r="G43" s="465">
        <f>F43/J41</f>
        <v>0.69030390738060776</v>
      </c>
      <c r="K43" s="468" t="s">
        <v>586</v>
      </c>
    </row>
    <row r="44" spans="2:11" x14ac:dyDescent="0.25">
      <c r="H44" t="s">
        <v>70</v>
      </c>
      <c r="I44" t="s">
        <v>70</v>
      </c>
    </row>
    <row r="45" spans="2:11" ht="45" x14ac:dyDescent="0.25">
      <c r="B45" s="466" t="s">
        <v>589</v>
      </c>
      <c r="C45" t="s">
        <v>579</v>
      </c>
      <c r="J45" s="464">
        <f>SUM(D46,F47,H48)</f>
        <v>1510000</v>
      </c>
      <c r="K45" s="468" t="s">
        <v>592</v>
      </c>
    </row>
    <row r="46" spans="2:11" ht="30" x14ac:dyDescent="0.25">
      <c r="D46" s="464">
        <v>220000</v>
      </c>
      <c r="E46" s="465">
        <f>D46/J45</f>
        <v>0.14569536423841059</v>
      </c>
      <c r="K46" s="468" t="s">
        <v>593</v>
      </c>
    </row>
    <row r="47" spans="2:11" ht="75" x14ac:dyDescent="0.25">
      <c r="F47" s="464">
        <f>290000+90000+130000+30000+200000+210000</f>
        <v>950000</v>
      </c>
      <c r="G47" s="465">
        <f>F47/J45</f>
        <v>0.62913907284768211</v>
      </c>
      <c r="K47" s="468" t="s">
        <v>591</v>
      </c>
    </row>
    <row r="48" spans="2:11" ht="45" x14ac:dyDescent="0.25">
      <c r="H48" s="464">
        <f>80000+110000+60000+10000+80000</f>
        <v>340000</v>
      </c>
      <c r="I48" s="465">
        <f>H48/J45</f>
        <v>0.2251655629139073</v>
      </c>
      <c r="K48" s="468" t="s">
        <v>590</v>
      </c>
    </row>
    <row r="49" spans="2:11" ht="60" x14ac:dyDescent="0.25">
      <c r="B49" s="466" t="s">
        <v>601</v>
      </c>
      <c r="C49" t="s">
        <v>53</v>
      </c>
      <c r="J49" s="464">
        <f>SUM(D50,F51,H52)</f>
        <v>4110000</v>
      </c>
      <c r="K49" s="468" t="s">
        <v>594</v>
      </c>
    </row>
    <row r="50" spans="2:11" x14ac:dyDescent="0.25">
      <c r="D50" s="464">
        <v>20000</v>
      </c>
      <c r="E50" s="465">
        <f>D50/J49</f>
        <v>4.8661800486618006E-3</v>
      </c>
      <c r="K50" s="468" t="s">
        <v>595</v>
      </c>
    </row>
    <row r="51" spans="2:11" x14ac:dyDescent="0.25">
      <c r="F51" s="464">
        <f>60000+((2/3)*4030000)</f>
        <v>2746666.6666666665</v>
      </c>
      <c r="G51" s="465">
        <f>F51/J49</f>
        <v>0.66828872668288719</v>
      </c>
      <c r="K51" s="468" t="s">
        <v>596</v>
      </c>
    </row>
    <row r="52" spans="2:11" ht="45" x14ac:dyDescent="0.25">
      <c r="H52" s="464">
        <f>(1/3)*4030000</f>
        <v>1343333.3333333333</v>
      </c>
      <c r="I52" s="465">
        <f>H52/J49</f>
        <v>0.3268450932684509</v>
      </c>
      <c r="K52" s="468" t="s">
        <v>597</v>
      </c>
    </row>
    <row r="53" spans="2:11" ht="60" x14ac:dyDescent="0.25">
      <c r="B53" s="466" t="s">
        <v>602</v>
      </c>
      <c r="C53" t="s">
        <v>53</v>
      </c>
      <c r="J53" s="464">
        <f>SUM(D54,F55)</f>
        <v>1740000</v>
      </c>
      <c r="K53" s="468" t="s">
        <v>605</v>
      </c>
    </row>
    <row r="54" spans="2:11" ht="30" x14ac:dyDescent="0.25">
      <c r="D54" s="464">
        <f>180000+310000</f>
        <v>490000</v>
      </c>
      <c r="E54" s="465">
        <f>D54/J53</f>
        <v>0.28160919540229884</v>
      </c>
      <c r="K54" s="468" t="s">
        <v>603</v>
      </c>
    </row>
    <row r="55" spans="2:11" x14ac:dyDescent="0.25">
      <c r="F55" s="464">
        <f>310000+940000</f>
        <v>1250000</v>
      </c>
      <c r="G55" s="465">
        <f>F55/J53</f>
        <v>0.7183908045977011</v>
      </c>
      <c r="K55" s="468" t="s">
        <v>604</v>
      </c>
    </row>
    <row r="56" spans="2:11" x14ac:dyDescent="0.25">
      <c r="H56" t="s">
        <v>70</v>
      </c>
      <c r="I56" t="s">
        <v>70</v>
      </c>
    </row>
    <row r="57" spans="2:11" ht="60" x14ac:dyDescent="0.25">
      <c r="B57" s="466" t="s">
        <v>606</v>
      </c>
      <c r="C57" t="s">
        <v>53</v>
      </c>
      <c r="J57" s="464">
        <f>SUM(D58,F59)</f>
        <v>220000</v>
      </c>
      <c r="K57" s="468" t="s">
        <v>607</v>
      </c>
    </row>
    <row r="58" spans="2:11" x14ac:dyDescent="0.25">
      <c r="D58" s="464">
        <f>10000</f>
        <v>10000</v>
      </c>
      <c r="E58" s="465">
        <f>D58/J57</f>
        <v>4.5454545454545456E-2</v>
      </c>
      <c r="K58" s="468" t="s">
        <v>608</v>
      </c>
    </row>
    <row r="59" spans="2:11" ht="45" x14ac:dyDescent="0.25">
      <c r="F59" s="464">
        <f>130000+80000</f>
        <v>210000</v>
      </c>
      <c r="G59" s="465">
        <f>F59/J57</f>
        <v>0.95454545454545459</v>
      </c>
      <c r="K59" s="468" t="s">
        <v>609</v>
      </c>
    </row>
    <row r="60" spans="2:11" x14ac:dyDescent="0.25">
      <c r="H60" t="s">
        <v>70</v>
      </c>
      <c r="I60" t="s">
        <v>70</v>
      </c>
    </row>
    <row r="61" spans="2:11" ht="105" x14ac:dyDescent="0.25">
      <c r="B61" s="466" t="s">
        <v>610</v>
      </c>
      <c r="C61" t="s">
        <v>53</v>
      </c>
      <c r="J61" s="464">
        <f>SUM(D62,F63)</f>
        <v>1210000</v>
      </c>
      <c r="K61" s="468" t="s">
        <v>574</v>
      </c>
    </row>
    <row r="62" spans="2:11" x14ac:dyDescent="0.25">
      <c r="D62" s="464">
        <f>930000-150000</f>
        <v>780000</v>
      </c>
      <c r="E62" s="465">
        <f>D62/J61</f>
        <v>0.64462809917355368</v>
      </c>
      <c r="K62" s="468" t="s">
        <v>612</v>
      </c>
    </row>
    <row r="63" spans="2:11" x14ac:dyDescent="0.25">
      <c r="F63" s="464">
        <f>280000+150000</f>
        <v>430000</v>
      </c>
      <c r="G63" s="465">
        <f>F63/J61</f>
        <v>0.35537190082644626</v>
      </c>
      <c r="K63" s="468" t="s">
        <v>611</v>
      </c>
    </row>
    <row r="64" spans="2:11" x14ac:dyDescent="0.25">
      <c r="H64" t="s">
        <v>70</v>
      </c>
      <c r="I64" t="s">
        <v>70</v>
      </c>
    </row>
    <row r="65" spans="2:11" ht="60" x14ac:dyDescent="0.25">
      <c r="B65" s="466" t="s">
        <v>613</v>
      </c>
      <c r="C65" t="s">
        <v>53</v>
      </c>
      <c r="J65" s="464">
        <f>SUM(D66,F67,H68)</f>
        <v>970000</v>
      </c>
      <c r="K65" s="468" t="s">
        <v>568</v>
      </c>
    </row>
    <row r="66" spans="2:11" ht="15" customHeight="1" x14ac:dyDescent="0.25">
      <c r="D66" s="464">
        <f>330000+300000</f>
        <v>630000</v>
      </c>
      <c r="E66" s="465">
        <f>D66/J65</f>
        <v>0.64948453608247425</v>
      </c>
      <c r="K66" s="468" t="s">
        <v>614</v>
      </c>
    </row>
    <row r="67" spans="2:11" ht="30" x14ac:dyDescent="0.25">
      <c r="F67" s="464">
        <f>50000+90000+30000+90000</f>
        <v>260000</v>
      </c>
      <c r="G67" s="465">
        <f>F67/J65</f>
        <v>0.26804123711340205</v>
      </c>
      <c r="K67" s="468" t="s">
        <v>615</v>
      </c>
    </row>
    <row r="68" spans="2:11" x14ac:dyDescent="0.25">
      <c r="H68" s="464">
        <f>50000+30000</f>
        <v>80000</v>
      </c>
      <c r="I68" s="465">
        <f>H68/J65</f>
        <v>8.247422680412371E-2</v>
      </c>
      <c r="K68" s="468" t="s">
        <v>616</v>
      </c>
    </row>
    <row r="69" spans="2:11" ht="45" x14ac:dyDescent="0.25">
      <c r="B69" s="466" t="s">
        <v>619</v>
      </c>
      <c r="C69" t="s">
        <v>53</v>
      </c>
      <c r="J69" s="464">
        <f>SUM(D70,F71,H72)</f>
        <v>1230000</v>
      </c>
      <c r="K69" s="468" t="s">
        <v>568</v>
      </c>
    </row>
    <row r="70" spans="2:11" ht="30" x14ac:dyDescent="0.25">
      <c r="D70" s="464">
        <f>470000+270000+360000</f>
        <v>1100000</v>
      </c>
      <c r="E70" s="465">
        <f>D70/J69</f>
        <v>0.89430894308943087</v>
      </c>
      <c r="K70" s="468" t="s">
        <v>617</v>
      </c>
    </row>
    <row r="71" spans="2:11" x14ac:dyDescent="0.25">
      <c r="F71" s="464">
        <f>30000+20000</f>
        <v>50000</v>
      </c>
      <c r="G71" s="465">
        <f>F71/J69</f>
        <v>4.065040650406504E-2</v>
      </c>
      <c r="K71" s="468" t="s">
        <v>618</v>
      </c>
    </row>
    <row r="72" spans="2:11" x14ac:dyDescent="0.25">
      <c r="H72" s="464">
        <f>50000+30000</f>
        <v>80000</v>
      </c>
      <c r="I72" s="465">
        <f>H72/J69</f>
        <v>6.5040650406504072E-2</v>
      </c>
      <c r="K72" s="468" t="s">
        <v>616</v>
      </c>
    </row>
    <row r="73" spans="2:11" ht="60" x14ac:dyDescent="0.25">
      <c r="B73" s="466" t="s">
        <v>621</v>
      </c>
      <c r="C73" t="s">
        <v>53</v>
      </c>
      <c r="J73" s="464">
        <f>SUM(D74,F75,H76)</f>
        <v>1220000</v>
      </c>
      <c r="K73" s="468" t="s">
        <v>568</v>
      </c>
    </row>
    <row r="74" spans="2:11" ht="30" x14ac:dyDescent="0.25">
      <c r="D74" s="464">
        <f>260000+520000</f>
        <v>780000</v>
      </c>
      <c r="E74" s="465">
        <f>D74/J73</f>
        <v>0.63934426229508201</v>
      </c>
      <c r="K74" s="468" t="s">
        <v>620</v>
      </c>
    </row>
    <row r="75" spans="2:11" ht="30" x14ac:dyDescent="0.25">
      <c r="F75" s="464">
        <f>60000+10000+20000+270000</f>
        <v>360000</v>
      </c>
      <c r="G75" s="465">
        <f>F75/J73</f>
        <v>0.29508196721311475</v>
      </c>
      <c r="K75" s="468" t="s">
        <v>622</v>
      </c>
    </row>
    <row r="76" spans="2:11" x14ac:dyDescent="0.25">
      <c r="H76" s="464">
        <f>50000+30000</f>
        <v>80000</v>
      </c>
      <c r="I76" s="465">
        <f>H76/J73</f>
        <v>6.5573770491803282E-2</v>
      </c>
      <c r="K76" s="468" t="s">
        <v>616</v>
      </c>
    </row>
    <row r="77" spans="2:11" ht="75" x14ac:dyDescent="0.25">
      <c r="B77" s="466" t="s">
        <v>623</v>
      </c>
      <c r="C77" t="s">
        <v>53</v>
      </c>
      <c r="J77" s="464">
        <f>SUM(D78,F79,H80)</f>
        <v>2080000</v>
      </c>
      <c r="K77" s="468" t="s">
        <v>624</v>
      </c>
    </row>
    <row r="78" spans="2:11" x14ac:dyDescent="0.25">
      <c r="D78" s="464">
        <f>220000+630000</f>
        <v>850000</v>
      </c>
      <c r="E78" s="465">
        <f>D78/J77</f>
        <v>0.40865384615384615</v>
      </c>
      <c r="K78" s="468" t="s">
        <v>625</v>
      </c>
    </row>
    <row r="79" spans="2:11" x14ac:dyDescent="0.25">
      <c r="F79" s="464">
        <f>230000+880000</f>
        <v>1110000</v>
      </c>
      <c r="G79" s="465">
        <f>F79/J77</f>
        <v>0.53365384615384615</v>
      </c>
      <c r="K79" s="468" t="s">
        <v>626</v>
      </c>
    </row>
    <row r="80" spans="2:11" x14ac:dyDescent="0.25">
      <c r="H80" s="464">
        <f>90000+30000</f>
        <v>120000</v>
      </c>
      <c r="I80" s="465">
        <f>H80/J77</f>
        <v>5.7692307692307696E-2</v>
      </c>
      <c r="K80" s="468" t="s">
        <v>616</v>
      </c>
    </row>
    <row r="83" spans="7:7" x14ac:dyDescent="0.25">
      <c r="G83">
        <f>AVERAGE(G2:G79)</f>
        <v>0.45203231275714523</v>
      </c>
    </row>
  </sheetData>
  <hyperlinks>
    <hyperlink ref="B11" r:id="rId1" xr:uid="{00000000-0004-0000-2300-000000000000}"/>
    <hyperlink ref="B10" r:id="rId2" xr:uid="{00000000-0004-0000-2300-000001000000}"/>
    <hyperlink ref="B9" r:id="rId3" xr:uid="{00000000-0004-0000-2300-000002000000}"/>
    <hyperlink ref="B8" r:id="rId4" xr:uid="{00000000-0004-0000-2300-000003000000}"/>
    <hyperlink ref="B7" r:id="rId5" xr:uid="{00000000-0004-0000-2300-000004000000}"/>
    <hyperlink ref="B2" r:id="rId6" xr:uid="{00000000-0004-0000-2300-000005000000}"/>
    <hyperlink ref="B3" r:id="rId7" xr:uid="{00000000-0004-0000-2300-000006000000}"/>
    <hyperlink ref="B4" r:id="rId8" xr:uid="{00000000-0004-0000-2300-000007000000}"/>
    <hyperlink ref="B5" r:id="rId9" xr:uid="{00000000-0004-0000-2300-000008000000}"/>
    <hyperlink ref="B6" r:id="rId10" xr:uid="{00000000-0004-0000-2300-000009000000}"/>
    <hyperlink ref="B13" r:id="rId11" display="Integrated software solution for PHCs and CHWs with " xr:uid="{00000000-0004-0000-2300-00000A000000}"/>
    <hyperlink ref="B17" r:id="rId12" display="Computerize hospital data" xr:uid="{00000000-0004-0000-2300-00000B000000}"/>
    <hyperlink ref="B21" r:id="rId13" display="Strengthen systems for facility performance management and supervision" xr:uid="{00000000-0004-0000-2300-00000C000000}"/>
    <hyperlink ref="B25" r:id="rId14" display="Implement systems for client feedback management" xr:uid="{00000000-0004-0000-2300-00000D000000}"/>
    <hyperlink ref="B29" r:id="rId15" xr:uid="{00000000-0004-0000-2300-00000E000000}"/>
    <hyperlink ref="B33" r:id="rId16" display="Enhance systems for management of supply chain data" xr:uid="{00000000-0004-0000-2300-00000F000000}"/>
    <hyperlink ref="B37" r:id="rId17" display="Develop standards for health insurance eClaims" xr:uid="{00000000-0004-0000-2300-000010000000}"/>
    <hyperlink ref="B41" r:id="rId18" display="Improve HMIS indicators and reporting" xr:uid="{00000000-0004-0000-2300-000011000000}"/>
    <hyperlink ref="B45" r:id="rId19" xr:uid="{00000000-0004-0000-2300-000012000000}"/>
    <hyperlink ref="B49" r:id="rId20" display="Enhance and scale notifiable disease surveillance" xr:uid="{00000000-0004-0000-2300-000013000000}"/>
    <hyperlink ref="B53" r:id="rId21" display="Implement notification systems for birth and  death recording" xr:uid="{00000000-0004-0000-2300-000014000000}"/>
    <hyperlink ref="B57" r:id="rId22" display="Enhance government coordination of data systems and use initiatives" xr:uid="{00000000-0004-0000-2300-000015000000}"/>
    <hyperlink ref="B61" r:id="rId23" display="Put in place an enterprise architecture, including governance, guidelines, and standards for interoperability" xr:uid="{00000000-0004-0000-2300-000016000000}"/>
    <hyperlink ref="B65" r:id="rId24" xr:uid="{00000000-0004-0000-2300-000017000000}"/>
    <hyperlink ref="B69" r:id="rId25" display="Implement a terminology service" xr:uid="{00000000-0004-0000-2300-000018000000}"/>
    <hyperlink ref="B73" r:id="rId26" display="Implement an administrative area registry (Identification registriesand directories)" xr:uid="{00000000-0004-0000-2300-000019000000}"/>
    <hyperlink ref="B77" r:id="rId27" xr:uid="{00000000-0004-0000-2300-00001A000000}"/>
  </hyperlinks>
  <pageMargins left="0.7" right="0.7" top="0.75" bottom="0.75" header="0.3" footer="0.3"/>
  <pageSetup orientation="portrait" r:id="rId28"/>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B2:U9"/>
  <sheetViews>
    <sheetView zoomScaleNormal="100" workbookViewId="0">
      <selection activeCell="C17" sqref="C17"/>
    </sheetView>
  </sheetViews>
  <sheetFormatPr defaultColWidth="8.7109375" defaultRowHeight="15" x14ac:dyDescent="0.25"/>
  <cols>
    <col min="2" max="2" width="16.7109375" bestFit="1" customWidth="1"/>
    <col min="4" max="4" width="15.28515625" bestFit="1" customWidth="1"/>
    <col min="5" max="5" width="16.7109375" bestFit="1" customWidth="1"/>
    <col min="6" max="6" width="10.28515625" bestFit="1" customWidth="1"/>
    <col min="7" max="7" width="15.28515625" bestFit="1" customWidth="1"/>
    <col min="8" max="8" width="9.7109375" bestFit="1" customWidth="1"/>
    <col min="9" max="9" width="10.28515625" bestFit="1" customWidth="1"/>
    <col min="11" max="11" width="9.7109375" bestFit="1" customWidth="1"/>
    <col min="12" max="12" width="9.7109375" customWidth="1"/>
    <col min="13" max="13" width="15.7109375" bestFit="1" customWidth="1"/>
  </cols>
  <sheetData>
    <row r="2" spans="2:21" x14ac:dyDescent="0.25">
      <c r="B2" t="s">
        <v>534</v>
      </c>
      <c r="C2" t="s">
        <v>535</v>
      </c>
      <c r="D2" t="s">
        <v>265</v>
      </c>
      <c r="E2" t="s">
        <v>536</v>
      </c>
      <c r="F2" t="s">
        <v>332</v>
      </c>
      <c r="G2" t="s">
        <v>537</v>
      </c>
      <c r="H2" t="s">
        <v>296</v>
      </c>
      <c r="I2" t="s">
        <v>301</v>
      </c>
      <c r="J2" t="s">
        <v>301</v>
      </c>
      <c r="K2" t="s">
        <v>538</v>
      </c>
      <c r="N2" t="s">
        <v>911</v>
      </c>
      <c r="O2" t="s">
        <v>537</v>
      </c>
      <c r="P2" t="s">
        <v>912</v>
      </c>
      <c r="S2" t="s">
        <v>332</v>
      </c>
      <c r="T2" t="s">
        <v>296</v>
      </c>
      <c r="U2" t="s">
        <v>914</v>
      </c>
    </row>
    <row r="3" spans="2:21" x14ac:dyDescent="0.25">
      <c r="B3" t="s">
        <v>305</v>
      </c>
      <c r="C3" s="463" t="s">
        <v>539</v>
      </c>
      <c r="D3" t="s">
        <v>53</v>
      </c>
      <c r="E3" s="464">
        <v>1793578</v>
      </c>
      <c r="F3" s="465">
        <f t="shared" ref="F3:F9" si="0">E3/K3</f>
        <v>0.37541456545168245</v>
      </c>
      <c r="G3" s="464">
        <v>751000</v>
      </c>
      <c r="H3" s="465">
        <f t="shared" ref="H3:H9" si="1">G3/K3</f>
        <v>0.15719212582570344</v>
      </c>
      <c r="I3" s="464">
        <v>2233015</v>
      </c>
      <c r="J3" s="465">
        <f t="shared" ref="J3:J9" si="2">I3/K3</f>
        <v>0.46739330872261409</v>
      </c>
      <c r="K3" s="464">
        <v>4777593</v>
      </c>
      <c r="L3" s="464"/>
      <c r="M3" t="s">
        <v>53</v>
      </c>
      <c r="N3" s="465">
        <v>0.37541456545168245</v>
      </c>
      <c r="O3" s="465">
        <v>0.15719212582570344</v>
      </c>
      <c r="P3" s="465">
        <v>0.46739330872261409</v>
      </c>
      <c r="R3" t="s">
        <v>915</v>
      </c>
      <c r="S3" s="492">
        <v>0.38</v>
      </c>
      <c r="T3" s="492">
        <v>0.16</v>
      </c>
      <c r="U3" s="492">
        <v>0.47</v>
      </c>
    </row>
    <row r="4" spans="2:21" x14ac:dyDescent="0.25">
      <c r="B4" t="s">
        <v>305</v>
      </c>
      <c r="C4" s="463" t="s">
        <v>539</v>
      </c>
      <c r="D4" t="s">
        <v>54</v>
      </c>
      <c r="E4" s="464">
        <v>221760</v>
      </c>
      <c r="F4" s="465">
        <f t="shared" si="0"/>
        <v>7.1770009741510155E-2</v>
      </c>
      <c r="G4" s="464">
        <f>418300+695060</f>
        <v>1113360</v>
      </c>
      <c r="H4" s="465">
        <f t="shared" si="1"/>
        <v>0.36032583895115328</v>
      </c>
      <c r="I4" s="464">
        <v>1754750</v>
      </c>
      <c r="J4" s="465">
        <f t="shared" si="2"/>
        <v>0.56790415130733651</v>
      </c>
      <c r="K4" s="464">
        <v>3089870</v>
      </c>
      <c r="L4" s="464"/>
      <c r="M4" t="s">
        <v>54</v>
      </c>
      <c r="N4" s="465">
        <v>7.1770009741510155E-2</v>
      </c>
      <c r="O4" s="465">
        <v>0.36032583895115328</v>
      </c>
      <c r="P4" s="465">
        <v>0.56790415130733651</v>
      </c>
      <c r="R4" t="s">
        <v>915</v>
      </c>
      <c r="S4" s="492">
        <v>7.0000000000000007E-2</v>
      </c>
      <c r="T4" s="492">
        <v>0.36</v>
      </c>
      <c r="U4" s="492">
        <v>0.56999999999999995</v>
      </c>
    </row>
    <row r="5" spans="2:21" x14ac:dyDescent="0.25">
      <c r="B5" t="s">
        <v>305</v>
      </c>
      <c r="C5" s="463" t="s">
        <v>539</v>
      </c>
      <c r="D5" t="s">
        <v>55</v>
      </c>
      <c r="E5" s="464">
        <v>311978</v>
      </c>
      <c r="F5" s="465">
        <f t="shared" si="0"/>
        <v>0.16307501718419629</v>
      </c>
      <c r="G5" s="464">
        <v>175257</v>
      </c>
      <c r="H5" s="465">
        <f t="shared" si="1"/>
        <v>9.1609146435488051E-2</v>
      </c>
      <c r="I5" s="464">
        <v>1425860</v>
      </c>
      <c r="J5" s="465">
        <f t="shared" si="2"/>
        <v>0.74531583638031562</v>
      </c>
      <c r="K5" s="464">
        <v>1913095</v>
      </c>
      <c r="L5" s="464"/>
      <c r="M5" t="s">
        <v>55</v>
      </c>
      <c r="N5" s="465">
        <v>0.16307501718419629</v>
      </c>
      <c r="O5" s="465">
        <v>9.1609146435488051E-2</v>
      </c>
      <c r="P5" s="465">
        <v>0.74531583638031562</v>
      </c>
      <c r="R5" t="s">
        <v>915</v>
      </c>
      <c r="S5" s="492">
        <v>0.16</v>
      </c>
      <c r="T5" s="492">
        <v>0.09</v>
      </c>
      <c r="U5" s="492">
        <v>0.75</v>
      </c>
    </row>
    <row r="6" spans="2:21" x14ac:dyDescent="0.25">
      <c r="B6" t="s">
        <v>305</v>
      </c>
      <c r="C6" s="463" t="s">
        <v>539</v>
      </c>
      <c r="D6" t="s">
        <v>56</v>
      </c>
      <c r="E6" s="464">
        <v>535586</v>
      </c>
      <c r="F6" s="465">
        <f t="shared" si="0"/>
        <v>0.35129607765971405</v>
      </c>
      <c r="G6" s="464">
        <v>78351</v>
      </c>
      <c r="H6" s="465">
        <f t="shared" si="1"/>
        <v>5.1391184573002756E-2</v>
      </c>
      <c r="I6" s="464">
        <v>910663</v>
      </c>
      <c r="J6" s="465">
        <f t="shared" si="2"/>
        <v>0.59731273776728322</v>
      </c>
      <c r="K6" s="464">
        <v>1524600</v>
      </c>
      <c r="L6" s="464"/>
      <c r="M6" t="s">
        <v>56</v>
      </c>
      <c r="N6" s="465">
        <v>0.35129607765971405</v>
      </c>
      <c r="O6" s="465">
        <v>5.1391184573002756E-2</v>
      </c>
      <c r="P6" s="465">
        <v>0.59731273776728322</v>
      </c>
      <c r="R6" t="s">
        <v>915</v>
      </c>
      <c r="S6" s="492">
        <v>0.35</v>
      </c>
      <c r="T6" s="492">
        <v>0.05</v>
      </c>
      <c r="U6" s="492">
        <v>0.6</v>
      </c>
    </row>
    <row r="7" spans="2:21" ht="30" x14ac:dyDescent="0.25">
      <c r="B7" t="s">
        <v>544</v>
      </c>
      <c r="C7" s="463" t="s">
        <v>545</v>
      </c>
      <c r="D7" t="s">
        <v>70</v>
      </c>
      <c r="E7" s="464">
        <f>45000+211490</f>
        <v>256490</v>
      </c>
      <c r="F7" s="465">
        <f t="shared" si="0"/>
        <v>0.14362702331608249</v>
      </c>
      <c r="G7" s="464">
        <f>183720+8400+14000</f>
        <v>206120</v>
      </c>
      <c r="H7" s="465">
        <f t="shared" si="1"/>
        <v>0.11542127196347196</v>
      </c>
      <c r="I7" s="464">
        <f>K7-G7-E7</f>
        <v>1323196</v>
      </c>
      <c r="J7" s="465">
        <f t="shared" si="2"/>
        <v>0.74095170472044558</v>
      </c>
      <c r="K7" s="464">
        <v>1785806</v>
      </c>
      <c r="L7" s="464"/>
      <c r="M7" s="288" t="s">
        <v>910</v>
      </c>
      <c r="N7" s="465">
        <v>0.14362702331608249</v>
      </c>
      <c r="O7" s="465">
        <v>0.11542127196347196</v>
      </c>
      <c r="P7" s="465">
        <v>0.74095170472044558</v>
      </c>
      <c r="R7" t="s">
        <v>915</v>
      </c>
      <c r="S7" s="492">
        <v>0.14000000000000001</v>
      </c>
      <c r="T7" s="492">
        <v>0.12</v>
      </c>
      <c r="U7" s="492">
        <v>0.74</v>
      </c>
    </row>
    <row r="8" spans="2:21" x14ac:dyDescent="0.25">
      <c r="B8" t="s">
        <v>547</v>
      </c>
      <c r="C8" s="463" t="s">
        <v>548</v>
      </c>
      <c r="D8" t="s">
        <v>549</v>
      </c>
      <c r="E8" s="464">
        <v>173000</v>
      </c>
      <c r="F8" s="465">
        <f t="shared" si="0"/>
        <v>0.11564171122994653</v>
      </c>
      <c r="G8" s="464">
        <v>91000</v>
      </c>
      <c r="H8" s="465">
        <f t="shared" si="1"/>
        <v>6.0828877005347594E-2</v>
      </c>
      <c r="I8" s="464">
        <f>(335-81+240+251+247+240)*1000</f>
        <v>1232000</v>
      </c>
      <c r="J8" s="465">
        <f t="shared" si="2"/>
        <v>0.82352941176470584</v>
      </c>
      <c r="K8" s="464">
        <v>1496000</v>
      </c>
      <c r="L8" s="464"/>
      <c r="M8" t="s">
        <v>549</v>
      </c>
      <c r="N8" s="465">
        <v>0.11564171122994653</v>
      </c>
      <c r="O8" s="465">
        <v>6.0828877005347594E-2</v>
      </c>
      <c r="P8" s="465">
        <v>0.82352941176470584</v>
      </c>
      <c r="R8" t="s">
        <v>915</v>
      </c>
      <c r="S8" s="492">
        <v>0.12</v>
      </c>
      <c r="T8" s="492">
        <v>0.06</v>
      </c>
      <c r="U8" s="492">
        <v>0.82</v>
      </c>
    </row>
    <row r="9" spans="2:21" x14ac:dyDescent="0.25">
      <c r="B9" t="s">
        <v>550</v>
      </c>
      <c r="C9" s="463" t="s">
        <v>551</v>
      </c>
      <c r="E9" s="464">
        <v>195000</v>
      </c>
      <c r="F9" s="465">
        <f t="shared" si="0"/>
        <v>0.14772727272727273</v>
      </c>
      <c r="G9" s="464">
        <v>600000</v>
      </c>
      <c r="H9" s="465">
        <f t="shared" si="1"/>
        <v>0.45454545454545453</v>
      </c>
      <c r="I9" s="464">
        <v>525000</v>
      </c>
      <c r="J9" s="465">
        <f t="shared" si="2"/>
        <v>0.39772727272727271</v>
      </c>
      <c r="K9" s="464">
        <f>SUM(E9,G9,I9)</f>
        <v>1320000</v>
      </c>
      <c r="L9" s="464"/>
      <c r="M9" t="s">
        <v>913</v>
      </c>
      <c r="N9" s="465">
        <v>0.14772727272727273</v>
      </c>
      <c r="O9" s="465">
        <v>0.45454545454545453</v>
      </c>
      <c r="P9" s="465">
        <v>0.39772727272727271</v>
      </c>
      <c r="R9" t="s">
        <v>915</v>
      </c>
      <c r="S9" s="492">
        <v>0.15</v>
      </c>
      <c r="T9" s="492">
        <v>0.45</v>
      </c>
      <c r="U9" s="492">
        <v>0.4</v>
      </c>
    </row>
  </sheetData>
  <hyperlinks>
    <hyperlink ref="C9" r:id="rId1" xr:uid="{00000000-0004-0000-2400-000000000000}"/>
    <hyperlink ref="C8" r:id="rId2" xr:uid="{00000000-0004-0000-2400-000001000000}"/>
    <hyperlink ref="C7" r:id="rId3" xr:uid="{00000000-0004-0000-2400-000002000000}"/>
    <hyperlink ref="C3" r:id="rId4" xr:uid="{00000000-0004-0000-2400-000003000000}"/>
    <hyperlink ref="C4" r:id="rId5" xr:uid="{00000000-0004-0000-2400-000004000000}"/>
    <hyperlink ref="C5" r:id="rId6" xr:uid="{00000000-0004-0000-2400-000005000000}"/>
    <hyperlink ref="C6" r:id="rId7" xr:uid="{00000000-0004-0000-2400-000006000000}"/>
  </hyperlink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B1:H23"/>
  <sheetViews>
    <sheetView showGridLines="0" zoomScale="80" zoomScaleNormal="80" workbookViewId="0">
      <pane ySplit="4" topLeftCell="A5" activePane="bottomLeft" state="frozen"/>
      <selection activeCell="C284" sqref="C284"/>
      <selection pane="bottomLeft" activeCell="E15" sqref="E15"/>
    </sheetView>
  </sheetViews>
  <sheetFormatPr defaultColWidth="10.7109375" defaultRowHeight="15" outlineLevelCol="1" x14ac:dyDescent="0.25"/>
  <cols>
    <col min="1" max="1" width="2" style="689" customWidth="1"/>
    <col min="2" max="2" width="68.28515625" style="689" customWidth="1"/>
    <col min="3" max="4" width="20" style="751" customWidth="1"/>
    <col min="5" max="5" width="80" style="689" customWidth="1"/>
    <col min="6" max="6" width="42.7109375" style="689" hidden="1" customWidth="1" outlineLevel="1"/>
    <col min="7" max="7" width="10.7109375" style="689" collapsed="1"/>
    <col min="8" max="16384" width="10.7109375" style="689"/>
  </cols>
  <sheetData>
    <row r="1" spans="2:8" x14ac:dyDescent="0.25">
      <c r="B1" s="727" t="s">
        <v>1380</v>
      </c>
    </row>
    <row r="2" spans="2:8" ht="31.9" customHeight="1" x14ac:dyDescent="0.25">
      <c r="B2" s="954" t="s">
        <v>1697</v>
      </c>
      <c r="C2" s="955"/>
      <c r="D2" s="955"/>
      <c r="E2" s="956"/>
      <c r="F2" s="752"/>
    </row>
    <row r="3" spans="2:8" x14ac:dyDescent="0.25">
      <c r="B3" s="753"/>
      <c r="C3" s="754"/>
      <c r="D3" s="754"/>
      <c r="E3" s="753"/>
      <c r="F3" s="753"/>
    </row>
    <row r="4" spans="2:8" ht="31.9" customHeight="1" x14ac:dyDescent="0.25">
      <c r="B4" s="753"/>
      <c r="C4" s="755" t="s">
        <v>1428</v>
      </c>
      <c r="D4" s="756" t="s">
        <v>1429</v>
      </c>
      <c r="E4" s="757" t="s">
        <v>1430</v>
      </c>
      <c r="F4" s="758" t="s">
        <v>935</v>
      </c>
    </row>
    <row r="5" spans="2:8" ht="21" x14ac:dyDescent="0.25">
      <c r="B5" s="759" t="s">
        <v>1431</v>
      </c>
      <c r="C5" s="760"/>
      <c r="D5" s="760"/>
      <c r="E5" s="759"/>
      <c r="F5" s="759"/>
    </row>
    <row r="7" spans="2:8" ht="48" customHeight="1" x14ac:dyDescent="0.25">
      <c r="B7" s="689" t="s">
        <v>1432</v>
      </c>
      <c r="C7" s="773"/>
      <c r="D7" s="761"/>
      <c r="E7" s="762" t="s">
        <v>1435</v>
      </c>
      <c r="F7" s="690" t="s">
        <v>931</v>
      </c>
    </row>
    <row r="8" spans="2:8" ht="31.9" customHeight="1" x14ac:dyDescent="0.25">
      <c r="B8" s="689" t="s">
        <v>1433</v>
      </c>
      <c r="C8" s="774"/>
      <c r="D8" s="761"/>
      <c r="E8" s="762" t="s">
        <v>1436</v>
      </c>
      <c r="F8" s="690" t="s">
        <v>932</v>
      </c>
    </row>
    <row r="9" spans="2:8" x14ac:dyDescent="0.25">
      <c r="B9" s="1019"/>
      <c r="C9" s="1020"/>
      <c r="D9" s="1021"/>
      <c r="E9" s="1022"/>
      <c r="F9" s="690"/>
    </row>
    <row r="10" spans="2:8" ht="75" x14ac:dyDescent="0.25">
      <c r="B10" s="1019" t="s">
        <v>1702</v>
      </c>
      <c r="C10" s="1033"/>
      <c r="D10" s="1023"/>
      <c r="E10" s="1024" t="s">
        <v>1705</v>
      </c>
      <c r="F10" s="690" t="s">
        <v>934</v>
      </c>
    </row>
    <row r="11" spans="2:8" x14ac:dyDescent="0.25">
      <c r="B11" s="1019"/>
      <c r="C11" s="1025"/>
      <c r="D11" s="1025"/>
      <c r="E11" s="1026"/>
    </row>
    <row r="12" spans="2:8" ht="68.25" customHeight="1" x14ac:dyDescent="0.25">
      <c r="B12" s="1019" t="s">
        <v>1703</v>
      </c>
      <c r="C12" s="1033"/>
      <c r="D12" s="1027"/>
      <c r="E12" s="1024" t="s">
        <v>1706</v>
      </c>
      <c r="H12" s="719"/>
    </row>
    <row r="13" spans="2:8" ht="15.75" x14ac:dyDescent="0.25">
      <c r="B13" s="1028"/>
      <c r="C13" s="1025"/>
      <c r="D13" s="1025"/>
      <c r="E13" s="1026"/>
    </row>
    <row r="14" spans="2:8" ht="30" x14ac:dyDescent="0.25">
      <c r="B14" s="1029" t="s">
        <v>1704</v>
      </c>
      <c r="C14" s="1033"/>
      <c r="D14" s="1030"/>
      <c r="E14" s="1026"/>
    </row>
    <row r="15" spans="2:8" x14ac:dyDescent="0.25">
      <c r="B15" s="1029"/>
      <c r="C15" s="1025"/>
      <c r="D15" s="1025"/>
      <c r="E15" s="1026"/>
    </row>
    <row r="16" spans="2:8" ht="45" x14ac:dyDescent="0.25">
      <c r="B16" s="1029" t="s">
        <v>1707</v>
      </c>
      <c r="C16" s="1034"/>
      <c r="D16" s="1031"/>
      <c r="E16" s="1032"/>
    </row>
    <row r="17" spans="2:8" ht="30" x14ac:dyDescent="0.25">
      <c r="B17" s="689" t="str">
        <f>IF(C16="no"," ", "Digite o número de novos locais onde a intervenção será implantada em cada ano")</f>
        <v>Digite o número de novos locais onde a intervenção será implantada em cada ano</v>
      </c>
    </row>
    <row r="18" spans="2:8" ht="16.149999999999999" customHeight="1" x14ac:dyDescent="0.25">
      <c r="B18" s="689" t="str">
        <f>IF(C16="no"," ","1° Ano")</f>
        <v>1° Ano</v>
      </c>
      <c r="C18" s="775"/>
      <c r="D18" s="769"/>
      <c r="E18" s="952" t="s">
        <v>1437</v>
      </c>
    </row>
    <row r="19" spans="2:8" ht="16.149999999999999" customHeight="1" x14ac:dyDescent="0.25">
      <c r="B19" s="689" t="str">
        <f>IF(C16="no"," ","2° Ano")</f>
        <v>2° Ano</v>
      </c>
      <c r="C19" s="776"/>
      <c r="D19" s="769"/>
      <c r="E19" s="953"/>
      <c r="F19" s="770"/>
      <c r="H19" s="719"/>
    </row>
    <row r="20" spans="2:8" ht="16.149999999999999" customHeight="1" x14ac:dyDescent="0.25">
      <c r="B20" s="689" t="str">
        <f>IF(C16="no"," ","3° Ano")</f>
        <v>3° Ano</v>
      </c>
      <c r="C20" s="775"/>
      <c r="D20" s="769"/>
      <c r="E20" s="953"/>
    </row>
    <row r="21" spans="2:8" ht="16.149999999999999" customHeight="1" x14ac:dyDescent="0.25">
      <c r="B21" s="689" t="str">
        <f>IF(C16="no"," ","4° Ano")</f>
        <v>4° Ano</v>
      </c>
      <c r="C21" s="775"/>
      <c r="D21" s="769" t="s">
        <v>1348</v>
      </c>
      <c r="E21" s="953"/>
    </row>
    <row r="22" spans="2:8" ht="16.149999999999999" customHeight="1" x14ac:dyDescent="0.25">
      <c r="B22" s="689" t="str">
        <f>IF(C16="no"," ","5° Ano")</f>
        <v>5° Ano</v>
      </c>
      <c r="C22" s="777"/>
      <c r="D22" s="769"/>
      <c r="E22" s="953"/>
    </row>
    <row r="23" spans="2:8" ht="16.149999999999999" customHeight="1" x14ac:dyDescent="0.25">
      <c r="B23" s="689" t="s">
        <v>1434</v>
      </c>
      <c r="C23" s="701">
        <f>SUM(C18:C22)</f>
        <v>0</v>
      </c>
      <c r="D23" s="771" t="s">
        <v>1438</v>
      </c>
      <c r="E23" s="772"/>
    </row>
  </sheetData>
  <sheetProtection formatColumns="0" formatRows="0"/>
  <scenarios current="0" show="0">
    <scenario name="scale" locked="1" count="1" user="Abdul Basith Shaukath" comment="Created by Abdul Basith Shaukath on 3/17/2022">
      <inputCells r="C17" val="2000" numFmtId="164"/>
    </scenario>
  </scenarios>
  <mergeCells count="2">
    <mergeCell ref="E18:E22"/>
    <mergeCell ref="B2:E2"/>
  </mergeCells>
  <conditionalFormatting sqref="C12">
    <cfRule type="expression" dxfId="64" priority="3">
      <formula>$C$10="Hosting through a third-party cloud service (local or international)"</formula>
    </cfRule>
    <cfRule type="expression" dxfId="63" priority="135">
      <formula>$B$12="Are server hosting costs shared or covered by other digital health system implementations or programs? (Enter 'Yes' or 'No')"</formula>
    </cfRule>
  </conditionalFormatting>
  <hyperlinks>
    <hyperlink ref="F8" r:id="rId1" display="Suggested Source: OANDA.com" xr:uid="{00000000-0004-0000-0300-000000000000}"/>
    <hyperlink ref="F7" r:id="rId2" display="Suggested Source: Digital Square Digital Health Market Maturity" xr:uid="{00000000-0004-0000-0300-000001000000}"/>
    <hyperlink ref="F10" r:id="rId3" xr:uid="{00000000-0004-0000-0300-000002000000}"/>
    <hyperlink ref="B1" location="Menu!D8" tooltip="Menu" display="&lt;&lt; Menu" xr:uid="{00000000-0004-0000-0300-00000300000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Sheet13!$D$3:$D$5</xm:f>
          </x14:formula1>
          <xm:sqref>C10</xm:sqref>
        </x14:dataValidation>
        <x14:dataValidation type="list" allowBlank="1" showInputMessage="1" showErrorMessage="1" xr:uid="{00000000-0002-0000-0300-000001000000}">
          <x14:formula1>
            <xm:f>Sheet14!$A$1:$A$4</xm:f>
          </x14:formula1>
          <xm:sqref>C14</xm:sqref>
        </x14:dataValidation>
        <x14:dataValidation type="list" allowBlank="1" showInputMessage="1" showErrorMessage="1" xr:uid="{00000000-0002-0000-0300-000002000000}">
          <x14:formula1>
            <xm:f>Countries!$A$3:$A$159</xm:f>
          </x14:formula1>
          <xm:sqref>C7</xm:sqref>
        </x14:dataValidation>
        <x14:dataValidation type="list" allowBlank="1" showInputMessage="1" showErrorMessage="1" error="You can only enter Yes or No in this cell." xr:uid="{00000000-0002-0000-0300-000003000000}">
          <x14:formula1>
            <xm:f>Sheet2!$A$1:$A$2</xm:f>
          </x14:formula1>
          <xm:sqref>C16</xm:sqref>
        </x14:dataValidation>
        <x14:dataValidation type="list" allowBlank="1" showInputMessage="1" showErrorMessage="1" xr:uid="{00000000-0002-0000-0300-000004000000}">
          <x14:formula1>
            <xm:f>INDEX(Sheet13!$B$9:$D$10,,MATCH($C$10,Sheet13!$B$8:$D$8,0))</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H12"/>
  <sheetViews>
    <sheetView workbookViewId="0">
      <selection activeCell="G20" sqref="G20"/>
    </sheetView>
  </sheetViews>
  <sheetFormatPr defaultColWidth="8.7109375" defaultRowHeight="15" x14ac:dyDescent="0.25"/>
  <cols>
    <col min="1" max="1" width="41.7109375" style="435" customWidth="1"/>
    <col min="2" max="2" width="26.28515625" style="315" customWidth="1"/>
    <col min="3" max="3" width="4.7109375" style="315" customWidth="1"/>
    <col min="4" max="4" width="26.28515625" style="315" customWidth="1"/>
    <col min="5" max="5" width="11.7109375" style="315" customWidth="1"/>
    <col min="6" max="6" width="17.42578125" style="315" bestFit="1" customWidth="1"/>
    <col min="7" max="7" width="16.28515625" style="315" bestFit="1" customWidth="1"/>
    <col min="8" max="8" width="15" style="315" bestFit="1" customWidth="1"/>
    <col min="9" max="16384" width="8.7109375" style="315"/>
  </cols>
  <sheetData>
    <row r="1" spans="1:8" ht="30" x14ac:dyDescent="0.25">
      <c r="A1" s="561" t="s">
        <v>1263</v>
      </c>
      <c r="B1" s="562" t="s">
        <v>62</v>
      </c>
      <c r="D1" s="566" t="s">
        <v>1287</v>
      </c>
      <c r="E1" s="568" t="s">
        <v>1288</v>
      </c>
      <c r="F1" s="568"/>
      <c r="G1" s="568"/>
      <c r="H1" s="568"/>
    </row>
    <row r="2" spans="1:8" ht="60" x14ac:dyDescent="0.25">
      <c r="A2" s="519" t="str">
        <f>'Custos de Implantação'!B11</f>
        <v>Digite o número de servidores que precisam ser comprados por ano</v>
      </c>
      <c r="B2" s="519" t="s">
        <v>1282</v>
      </c>
      <c r="C2" s="475"/>
      <c r="D2" s="569" t="s">
        <v>1298</v>
      </c>
      <c r="E2" s="568" t="s">
        <v>1293</v>
      </c>
      <c r="F2" s="568" t="s">
        <v>1294</v>
      </c>
      <c r="G2" s="568" t="s">
        <v>1295</v>
      </c>
      <c r="H2" s="568" t="s">
        <v>1296</v>
      </c>
    </row>
    <row r="3" spans="1:8" ht="30" x14ac:dyDescent="0.25">
      <c r="A3" s="519" t="str">
        <f>'Custos de Implantação'!B19</f>
        <v xml:space="preserve">Digite o número de roteadores que precisam ser comprados por ano </v>
      </c>
      <c r="B3" s="519" t="s">
        <v>1283</v>
      </c>
      <c r="C3" s="435"/>
      <c r="D3" s="567">
        <v>10</v>
      </c>
      <c r="E3" s="563">
        <v>1799400</v>
      </c>
      <c r="F3" s="564">
        <v>0.13</v>
      </c>
      <c r="G3" s="564">
        <v>0.1</v>
      </c>
      <c r="H3" s="564">
        <v>0.77</v>
      </c>
    </row>
    <row r="4" spans="1:8" ht="30" x14ac:dyDescent="0.25">
      <c r="A4" s="519" t="str">
        <f>'Custos de Implantação'!B27</f>
        <v>Digite o número de computadores que precisam ser comprados por ano</v>
      </c>
      <c r="B4" s="519"/>
      <c r="C4" s="435"/>
      <c r="D4" s="567">
        <v>50</v>
      </c>
      <c r="E4" s="563">
        <v>2988200</v>
      </c>
      <c r="F4" s="564">
        <v>0.08</v>
      </c>
      <c r="G4" s="564">
        <v>0.14000000000000001</v>
      </c>
      <c r="H4" s="564">
        <v>0.78</v>
      </c>
    </row>
    <row r="5" spans="1:8" ht="30" x14ac:dyDescent="0.25">
      <c r="A5" s="519" t="str">
        <f>'Custos de Implantação'!B35</f>
        <v>Digite o número de tablets ou telemóveis que precisam de ser comprados para cada</v>
      </c>
      <c r="B5" s="519"/>
      <c r="C5" s="435"/>
      <c r="D5" s="567">
        <v>100</v>
      </c>
      <c r="E5" s="563">
        <v>4474200</v>
      </c>
      <c r="F5" s="564">
        <v>0.05</v>
      </c>
      <c r="G5" s="564">
        <v>0.16</v>
      </c>
      <c r="H5" s="564">
        <v>0.79</v>
      </c>
    </row>
    <row r="6" spans="1:8" ht="30" x14ac:dyDescent="0.25">
      <c r="A6" s="519" t="e">
        <f>'Custos de Implantação'!#REF!</f>
        <v>#REF!</v>
      </c>
      <c r="B6" s="519" t="s">
        <v>1284</v>
      </c>
      <c r="C6" s="435"/>
      <c r="D6" s="567">
        <v>500</v>
      </c>
      <c r="E6" s="563">
        <v>16362200</v>
      </c>
      <c r="F6" s="565">
        <v>0.02</v>
      </c>
      <c r="G6" s="564">
        <v>0.18</v>
      </c>
      <c r="H6" s="564">
        <v>0.8</v>
      </c>
    </row>
    <row r="7" spans="1:8" ht="30" x14ac:dyDescent="0.25">
      <c r="A7" s="519" t="e">
        <f>'Custos de Implantação'!#REF!</f>
        <v>#REF!</v>
      </c>
      <c r="B7" s="519" t="s">
        <v>1284</v>
      </c>
      <c r="C7" s="435"/>
      <c r="D7" s="567">
        <v>1000</v>
      </c>
      <c r="E7" s="563">
        <v>31222200</v>
      </c>
      <c r="F7" s="565">
        <v>0.01</v>
      </c>
      <c r="G7" s="564">
        <v>0.19</v>
      </c>
      <c r="H7" s="564">
        <v>0.8</v>
      </c>
    </row>
    <row r="8" spans="1:8" ht="45" x14ac:dyDescent="0.25">
      <c r="A8" s="519" t="str">
        <f>'Custos de Implantação'!B53</f>
        <v>Digite o número de carregadores solares ou geradores que precisam ser comprados</v>
      </c>
      <c r="B8" s="519" t="s">
        <v>1285</v>
      </c>
      <c r="C8" s="435"/>
      <c r="D8" s="567">
        <v>5000</v>
      </c>
      <c r="E8" s="563">
        <v>150102200</v>
      </c>
      <c r="F8" s="565" t="s">
        <v>1297</v>
      </c>
      <c r="G8" s="564">
        <v>0.19</v>
      </c>
      <c r="H8" s="564">
        <v>0.81</v>
      </c>
    </row>
    <row r="9" spans="1:8" ht="45" x14ac:dyDescent="0.25">
      <c r="A9" s="519" t="str">
        <f>'Custos de Implantação'!B129</f>
        <v>Insira o número de utilizadores que necessitam de novas formações de implementação em cada Ano</v>
      </c>
      <c r="B9" s="560"/>
      <c r="C9" s="435"/>
    </row>
    <row r="10" spans="1:8" ht="30" x14ac:dyDescent="0.25">
      <c r="A10" s="519" t="str">
        <f>'Custos de Operação'!B112</f>
        <v>Digite o número de novos locais ou usuários que precisam de dados/voz por ano</v>
      </c>
      <c r="B10" s="519" t="s">
        <v>1284</v>
      </c>
      <c r="C10" s="559"/>
    </row>
    <row r="11" spans="1:8" x14ac:dyDescent="0.25">
      <c r="A11" s="519" t="e">
        <f>'Custos de Operação'!#REF!</f>
        <v>#REF!</v>
      </c>
      <c r="B11" s="519"/>
      <c r="C11" s="435"/>
    </row>
    <row r="12" spans="1:8" x14ac:dyDescent="0.25">
      <c r="C12" s="43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sheetPr>
  <dimension ref="A1:H28"/>
  <sheetViews>
    <sheetView showGridLines="0" zoomScale="80" zoomScaleNormal="80" workbookViewId="0">
      <pane ySplit="4" topLeftCell="A5" activePane="bottomLeft" state="frozen"/>
      <selection activeCell="B29" sqref="B29"/>
      <selection pane="bottomLeft" activeCell="B5" sqref="B5"/>
    </sheetView>
  </sheetViews>
  <sheetFormatPr defaultColWidth="10.7109375" defaultRowHeight="15" outlineLevelCol="1" x14ac:dyDescent="0.25"/>
  <cols>
    <col min="1" max="1" width="2" style="697" customWidth="1"/>
    <col min="2" max="2" width="68.28515625" style="697" customWidth="1"/>
    <col min="3" max="4" width="20" style="765" customWidth="1"/>
    <col min="5" max="5" width="80" style="697" customWidth="1"/>
    <col min="6" max="6" width="42.7109375" style="697" hidden="1" customWidth="1" outlineLevel="1"/>
    <col min="7" max="7" width="10.7109375" style="697" collapsed="1"/>
    <col min="8" max="16384" width="10.7109375" style="697"/>
  </cols>
  <sheetData>
    <row r="1" spans="2:8" s="689" customFormat="1" x14ac:dyDescent="0.25">
      <c r="B1" s="727" t="s">
        <v>1380</v>
      </c>
      <c r="C1" s="751"/>
      <c r="D1" s="751"/>
    </row>
    <row r="2" spans="2:8" s="689" customFormat="1" ht="31.9" customHeight="1" x14ac:dyDescent="0.25">
      <c r="B2" s="954" t="s">
        <v>1699</v>
      </c>
      <c r="C2" s="955"/>
      <c r="D2" s="955"/>
      <c r="E2" s="956"/>
      <c r="F2" s="752"/>
    </row>
    <row r="4" spans="2:8" ht="31.9" customHeight="1" x14ac:dyDescent="0.25">
      <c r="C4" s="781" t="s">
        <v>1428</v>
      </c>
      <c r="D4" s="756" t="s">
        <v>1439</v>
      </c>
      <c r="E4" s="782" t="s">
        <v>1430</v>
      </c>
      <c r="F4" s="758" t="s">
        <v>935</v>
      </c>
    </row>
    <row r="5" spans="2:8" s="689" customFormat="1" ht="48" customHeight="1" x14ac:dyDescent="0.25">
      <c r="B5" s="759" t="s">
        <v>1441</v>
      </c>
      <c r="C5" s="783"/>
      <c r="D5" s="783"/>
      <c r="E5" s="784" t="s">
        <v>1440</v>
      </c>
      <c r="F5" s="785"/>
    </row>
    <row r="6" spans="2:8" s="689" customFormat="1" x14ac:dyDescent="0.25">
      <c r="C6" s="751"/>
      <c r="D6" s="751"/>
    </row>
    <row r="7" spans="2:8" s="689" customFormat="1" ht="61.9" customHeight="1" x14ac:dyDescent="0.25">
      <c r="B7" s="689" t="s">
        <v>1442</v>
      </c>
      <c r="C7" s="773"/>
      <c r="D7" s="761"/>
      <c r="E7" s="762" t="s">
        <v>1672</v>
      </c>
      <c r="F7" t="s">
        <v>934</v>
      </c>
    </row>
    <row r="8" spans="2:8" s="689" customFormat="1" ht="21" x14ac:dyDescent="0.35">
      <c r="B8" s="867" t="str">
        <f>IF(C7="No","Go to Deployment Costs","")</f>
        <v/>
      </c>
      <c r="C8" s="786"/>
      <c r="D8" s="786"/>
      <c r="E8" s="735"/>
      <c r="F8" s="768"/>
    </row>
    <row r="9" spans="2:8" ht="48" customHeight="1" x14ac:dyDescent="0.25">
      <c r="B9" s="785" t="s">
        <v>1623</v>
      </c>
      <c r="C9" s="787"/>
      <c r="D9" s="787"/>
      <c r="E9" s="788" t="s">
        <v>1671</v>
      </c>
      <c r="F9" s="789"/>
      <c r="H9" s="790"/>
    </row>
    <row r="10" spans="2:8" s="689" customFormat="1" ht="105" x14ac:dyDescent="0.25">
      <c r="B10" s="752" t="s">
        <v>1443</v>
      </c>
      <c r="C10" s="778"/>
      <c r="D10" s="791"/>
      <c r="E10" s="792" t="s">
        <v>1455</v>
      </c>
      <c r="F10" s="793" t="s">
        <v>1277</v>
      </c>
    </row>
    <row r="11" spans="2:8" s="689" customFormat="1" ht="55.9" customHeight="1" x14ac:dyDescent="0.25">
      <c r="B11" s="752" t="s">
        <v>1444</v>
      </c>
      <c r="C11" s="778"/>
      <c r="D11" s="794"/>
      <c r="E11" s="792" t="s">
        <v>1456</v>
      </c>
      <c r="F11" s="793" t="s">
        <v>1278</v>
      </c>
      <c r="G11" s="793"/>
    </row>
    <row r="12" spans="2:8" s="689" customFormat="1" ht="30" x14ac:dyDescent="0.25">
      <c r="B12" s="795" t="s">
        <v>1821</v>
      </c>
      <c r="C12" s="796">
        <f>C10*C11</f>
        <v>0</v>
      </c>
      <c r="D12" s="797" t="s">
        <v>1438</v>
      </c>
      <c r="E12" s="798" t="s">
        <v>1708</v>
      </c>
      <c r="F12" s="690"/>
    </row>
    <row r="13" spans="2:8" s="689" customFormat="1" x14ac:dyDescent="0.25">
      <c r="B13" s="753"/>
      <c r="C13" s="799"/>
      <c r="D13" s="763"/>
      <c r="E13" s="764"/>
      <c r="F13" s="770"/>
    </row>
    <row r="14" spans="2:8" s="689" customFormat="1" ht="82.15" customHeight="1" x14ac:dyDescent="0.25">
      <c r="B14" s="752" t="s">
        <v>1445</v>
      </c>
      <c r="C14" s="778"/>
      <c r="D14" s="791"/>
      <c r="E14" s="792" t="s">
        <v>1457</v>
      </c>
      <c r="F14" s="793" t="s">
        <v>1278</v>
      </c>
    </row>
    <row r="15" spans="2:8" s="689" customFormat="1" ht="150" x14ac:dyDescent="0.25">
      <c r="B15" s="752" t="s">
        <v>1446</v>
      </c>
      <c r="C15" s="778"/>
      <c r="D15" s="800" t="s">
        <v>1711</v>
      </c>
      <c r="E15" s="792" t="s">
        <v>1458</v>
      </c>
      <c r="F15" s="793" t="s">
        <v>1278</v>
      </c>
    </row>
    <row r="16" spans="2:8" s="689" customFormat="1" ht="30" x14ac:dyDescent="0.25">
      <c r="B16" s="752" t="s">
        <v>1447</v>
      </c>
      <c r="C16" s="778"/>
      <c r="D16" s="766"/>
      <c r="E16" s="792" t="s">
        <v>1459</v>
      </c>
      <c r="F16" s="770"/>
    </row>
    <row r="17" spans="1:7" s="689" customFormat="1" x14ac:dyDescent="0.25">
      <c r="B17" s="753"/>
      <c r="C17" s="801"/>
      <c r="D17" s="763"/>
      <c r="E17" s="764"/>
      <c r="F17" s="770"/>
    </row>
    <row r="18" spans="1:7" x14ac:dyDescent="0.25">
      <c r="B18" s="785" t="s">
        <v>1448</v>
      </c>
      <c r="C18" s="787"/>
      <c r="D18" s="802"/>
      <c r="E18" s="788"/>
      <c r="F18" s="789"/>
      <c r="G18" s="689"/>
    </row>
    <row r="19" spans="1:7" s="689" customFormat="1" ht="31.9" customHeight="1" x14ac:dyDescent="0.25">
      <c r="A19" s="689" t="s">
        <v>1348</v>
      </c>
      <c r="B19" s="752" t="s">
        <v>1449</v>
      </c>
      <c r="C19" s="778"/>
      <c r="D19" s="791"/>
      <c r="E19" s="792" t="s">
        <v>1460</v>
      </c>
      <c r="F19" s="793" t="s">
        <v>1277</v>
      </c>
    </row>
    <row r="20" spans="1:7" s="689" customFormat="1" ht="54.6" customHeight="1" x14ac:dyDescent="0.25">
      <c r="B20" s="752" t="s">
        <v>1450</v>
      </c>
      <c r="C20" s="778"/>
      <c r="D20" s="803"/>
      <c r="E20" s="792" t="s">
        <v>1461</v>
      </c>
      <c r="F20" s="793" t="s">
        <v>1278</v>
      </c>
    </row>
    <row r="21" spans="1:7" s="689" customFormat="1" ht="16.899999999999999" customHeight="1" x14ac:dyDescent="0.25">
      <c r="B21" s="795" t="s">
        <v>1710</v>
      </c>
      <c r="C21" s="796">
        <f>C19*C20</f>
        <v>0</v>
      </c>
      <c r="D21" s="797" t="s">
        <v>1438</v>
      </c>
      <c r="E21" s="792" t="s">
        <v>1708</v>
      </c>
      <c r="F21" s="690"/>
    </row>
    <row r="22" spans="1:7" s="689" customFormat="1" x14ac:dyDescent="0.25">
      <c r="C22" s="804"/>
      <c r="D22" s="763"/>
      <c r="E22" s="735"/>
      <c r="F22" s="770"/>
    </row>
    <row r="23" spans="1:7" s="689" customFormat="1" ht="31.9" customHeight="1" x14ac:dyDescent="0.25">
      <c r="B23" s="752" t="s">
        <v>1451</v>
      </c>
      <c r="C23" s="778"/>
      <c r="D23" s="766"/>
      <c r="E23" s="792" t="s">
        <v>1462</v>
      </c>
      <c r="F23" t="s">
        <v>934</v>
      </c>
    </row>
    <row r="24" spans="1:7" s="689" customFormat="1" x14ac:dyDescent="0.25">
      <c r="B24" s="752"/>
      <c r="C24" s="801"/>
      <c r="D24" s="763"/>
      <c r="E24" s="764"/>
      <c r="F24" s="770"/>
    </row>
    <row r="25" spans="1:7" x14ac:dyDescent="0.25">
      <c r="B25" s="785" t="s">
        <v>1452</v>
      </c>
      <c r="C25" s="787"/>
      <c r="D25" s="802"/>
      <c r="E25" s="788"/>
      <c r="F25" s="789"/>
      <c r="G25" s="689"/>
    </row>
    <row r="26" spans="1:7" s="689" customFormat="1" ht="61.9" customHeight="1" x14ac:dyDescent="0.25">
      <c r="B26" s="689" t="s">
        <v>1453</v>
      </c>
      <c r="C26" s="778"/>
      <c r="D26" s="791"/>
      <c r="E26" s="792" t="s">
        <v>1463</v>
      </c>
      <c r="F26" s="793" t="s">
        <v>1277</v>
      </c>
    </row>
    <row r="27" spans="1:7" s="689" customFormat="1" ht="61.9" customHeight="1" x14ac:dyDescent="0.25">
      <c r="B27" s="752" t="s">
        <v>1454</v>
      </c>
      <c r="C27" s="778"/>
      <c r="D27" s="803"/>
      <c r="E27" s="792" t="s">
        <v>1464</v>
      </c>
      <c r="F27" s="793" t="s">
        <v>1278</v>
      </c>
    </row>
    <row r="28" spans="1:7" s="689" customFormat="1" x14ac:dyDescent="0.25">
      <c r="B28" s="795" t="s">
        <v>1709</v>
      </c>
      <c r="C28" s="796">
        <f>C26*C27</f>
        <v>0</v>
      </c>
      <c r="D28" s="797" t="s">
        <v>1438</v>
      </c>
      <c r="E28" s="792" t="s">
        <v>1708</v>
      </c>
      <c r="F28" s="690"/>
    </row>
  </sheetData>
  <sheetProtection formatColumns="0" formatRows="0"/>
  <mergeCells count="1">
    <mergeCell ref="B2:E2"/>
  </mergeCells>
  <conditionalFormatting sqref="C10:C12">
    <cfRule type="expression" dxfId="61" priority="1">
      <formula>$C$7="No"</formula>
    </cfRule>
  </conditionalFormatting>
  <conditionalFormatting sqref="C14:C16 C19:C21 C23 C26:C28">
    <cfRule type="expression" dxfId="60" priority="4">
      <formula>$C$7="No"</formula>
    </cfRule>
  </conditionalFormatting>
  <hyperlinks>
    <hyperlink ref="B1" location="Menu!D9" tooltip="Menu" display="&lt;&lt; Menu" xr:uid="{00000000-0004-0000-0500-000000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can only enter Yes or No in this cell." xr:uid="{00000000-0002-0000-0500-000000000000}">
          <x14:formula1>
            <xm:f>Sheet2!$A$1:$A$2</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sheetPr>
  <dimension ref="A1:J185"/>
  <sheetViews>
    <sheetView showGridLines="0" zoomScale="80" zoomScaleNormal="80" workbookViewId="0">
      <pane ySplit="4" topLeftCell="A5" activePane="bottomLeft" state="frozen"/>
      <selection activeCell="B29" sqref="B29"/>
      <selection pane="bottomLeft" activeCell="E149" sqref="E149"/>
    </sheetView>
  </sheetViews>
  <sheetFormatPr defaultColWidth="10.7109375" defaultRowHeight="15" outlineLevelRow="1" outlineLevelCol="1" x14ac:dyDescent="0.25"/>
  <cols>
    <col min="1" max="1" width="2" style="697" customWidth="1"/>
    <col min="2" max="2" width="68.28515625" style="697" customWidth="1"/>
    <col min="3" max="3" width="20" style="765" customWidth="1"/>
    <col min="4" max="4" width="20" style="697" customWidth="1"/>
    <col min="5" max="5" width="80" style="767" customWidth="1"/>
    <col min="6" max="6" width="42.7109375" style="697" hidden="1" customWidth="1" outlineLevel="1"/>
    <col min="7" max="7" width="10.7109375" style="697" collapsed="1"/>
    <col min="8" max="8" width="17.7109375" style="697" customWidth="1"/>
    <col min="9" max="9" width="11.28515625" style="697" bestFit="1" customWidth="1"/>
    <col min="10" max="16384" width="10.7109375" style="697"/>
  </cols>
  <sheetData>
    <row r="1" spans="1:10" x14ac:dyDescent="0.25">
      <c r="A1" s="689"/>
      <c r="B1" s="727" t="s">
        <v>1380</v>
      </c>
      <c r="C1" s="751"/>
      <c r="D1" s="689"/>
      <c r="E1" s="735"/>
      <c r="F1" s="689"/>
    </row>
    <row r="2" spans="1:10" ht="31.9" customHeight="1" x14ac:dyDescent="0.25">
      <c r="A2" s="689"/>
      <c r="B2" s="954" t="s">
        <v>1700</v>
      </c>
      <c r="C2" s="955"/>
      <c r="D2" s="955"/>
      <c r="E2" s="956"/>
      <c r="F2" s="752"/>
    </row>
    <row r="4" spans="1:10" ht="31.9" customHeight="1" x14ac:dyDescent="0.25">
      <c r="C4" s="781" t="s">
        <v>1428</v>
      </c>
      <c r="D4" s="756" t="s">
        <v>1429</v>
      </c>
      <c r="E4" s="782" t="s">
        <v>1430</v>
      </c>
      <c r="F4" s="758" t="s">
        <v>935</v>
      </c>
    </row>
    <row r="5" spans="1:10" s="689" customFormat="1" ht="124.9" customHeight="1" x14ac:dyDescent="0.25">
      <c r="B5" s="759" t="s">
        <v>1466</v>
      </c>
      <c r="C5" s="783"/>
      <c r="D5" s="784"/>
      <c r="E5" s="784" t="s">
        <v>1465</v>
      </c>
      <c r="F5" s="784"/>
    </row>
    <row r="6" spans="1:10" s="689" customFormat="1" x14ac:dyDescent="0.25">
      <c r="C6" s="751"/>
      <c r="E6" s="735"/>
    </row>
    <row r="7" spans="1:10" ht="64.150000000000006" customHeight="1" x14ac:dyDescent="0.25">
      <c r="B7" s="785" t="s">
        <v>1467</v>
      </c>
      <c r="C7" s="787"/>
      <c r="D7" s="788"/>
      <c r="E7" s="805" t="s">
        <v>1468</v>
      </c>
      <c r="F7" s="789"/>
    </row>
    <row r="8" spans="1:10" s="689" customFormat="1" ht="58.15" customHeight="1" x14ac:dyDescent="0.25">
      <c r="B8" s="753" t="s">
        <v>1470</v>
      </c>
      <c r="C8" s="806"/>
      <c r="D8" s="807"/>
      <c r="E8" s="762" t="s">
        <v>1469</v>
      </c>
      <c r="F8" s="793" t="s">
        <v>1278</v>
      </c>
      <c r="H8" s="719"/>
    </row>
    <row r="9" spans="1:10" s="689" customFormat="1" ht="58.15" customHeight="1" x14ac:dyDescent="0.25">
      <c r="B9" s="808" t="str">
        <f>IF(C8="Yes","Costs below should be entered in terms of what this deployment will bear, e.g. if the project is bearing 50% of a $1,500 server, then cost should be entered as $750.","")</f>
        <v/>
      </c>
      <c r="C9" s="751"/>
      <c r="D9" s="735"/>
      <c r="E9" s="764"/>
      <c r="F9" s="770"/>
    </row>
    <row r="10" spans="1:10" s="689" customFormat="1" ht="16.149999999999999" customHeight="1" x14ac:dyDescent="0.25">
      <c r="B10" s="753" t="s">
        <v>1471</v>
      </c>
      <c r="C10" s="778"/>
      <c r="D10" s="809" t="s">
        <v>1522</v>
      </c>
      <c r="E10" s="762" t="s">
        <v>1519</v>
      </c>
      <c r="F10" s="793" t="s">
        <v>1279</v>
      </c>
      <c r="H10" s="810"/>
    </row>
    <row r="11" spans="1:10" s="689" customFormat="1" x14ac:dyDescent="0.25">
      <c r="B11" s="753" t="s">
        <v>1472</v>
      </c>
      <c r="C11" s="811"/>
      <c r="D11" s="812"/>
      <c r="E11" s="735"/>
      <c r="F11" s="770"/>
      <c r="H11" s="719"/>
    </row>
    <row r="12" spans="1:10" s="689" customFormat="1" ht="16.149999999999999" customHeight="1" x14ac:dyDescent="0.25">
      <c r="B12" s="943" t="s">
        <v>1473</v>
      </c>
      <c r="C12" s="778"/>
      <c r="D12" s="813"/>
      <c r="E12" s="952" t="s">
        <v>1520</v>
      </c>
      <c r="F12" s="770"/>
      <c r="H12" s="810"/>
      <c r="J12" s="814"/>
    </row>
    <row r="13" spans="1:10" s="689" customFormat="1" x14ac:dyDescent="0.25">
      <c r="B13" s="943" t="s">
        <v>1474</v>
      </c>
      <c r="C13" s="778"/>
      <c r="D13" s="813"/>
      <c r="E13" s="953"/>
      <c r="F13" s="770"/>
      <c r="H13" s="810"/>
      <c r="J13" s="814"/>
    </row>
    <row r="14" spans="1:10" s="689" customFormat="1" x14ac:dyDescent="0.25">
      <c r="B14" s="943" t="s">
        <v>1475</v>
      </c>
      <c r="C14" s="778"/>
      <c r="D14" s="813"/>
      <c r="E14" s="953"/>
      <c r="F14" s="770"/>
      <c r="H14" s="810"/>
      <c r="J14" s="814"/>
    </row>
    <row r="15" spans="1:10" s="689" customFormat="1" x14ac:dyDescent="0.25">
      <c r="B15" s="943" t="s">
        <v>1476</v>
      </c>
      <c r="C15" s="778"/>
      <c r="D15" s="813"/>
      <c r="E15" s="953"/>
      <c r="F15" s="770"/>
      <c r="H15" s="810"/>
      <c r="J15" s="814"/>
    </row>
    <row r="16" spans="1:10" s="689" customFormat="1" x14ac:dyDescent="0.25">
      <c r="B16" s="943" t="s">
        <v>1477</v>
      </c>
      <c r="C16" s="778"/>
      <c r="D16" s="813"/>
      <c r="E16" s="957"/>
      <c r="F16" s="770"/>
      <c r="H16" s="810"/>
      <c r="J16" s="814"/>
    </row>
    <row r="17" spans="2:10" s="689" customFormat="1" x14ac:dyDescent="0.25">
      <c r="B17" s="753"/>
      <c r="C17" s="815"/>
      <c r="E17" s="764"/>
      <c r="F17" s="770"/>
      <c r="H17" s="719"/>
      <c r="I17" s="816"/>
      <c r="J17" s="697"/>
    </row>
    <row r="18" spans="2:10" s="689" customFormat="1" ht="30" x14ac:dyDescent="0.25">
      <c r="B18" s="753" t="s">
        <v>1478</v>
      </c>
      <c r="C18" s="778"/>
      <c r="D18" s="817" t="s">
        <v>1523</v>
      </c>
      <c r="E18" s="792"/>
      <c r="F18" s="770"/>
      <c r="H18" s="810"/>
      <c r="I18" s="697"/>
      <c r="J18" s="697"/>
    </row>
    <row r="19" spans="2:10" s="689" customFormat="1" ht="16.149999999999999" customHeight="1" x14ac:dyDescent="0.25">
      <c r="B19" s="753" t="s">
        <v>1479</v>
      </c>
      <c r="C19" s="811"/>
      <c r="D19" s="812"/>
      <c r="E19" s="735"/>
      <c r="F19" s="690" t="s">
        <v>936</v>
      </c>
      <c r="H19" s="719"/>
      <c r="I19" s="697"/>
      <c r="J19" s="697"/>
    </row>
    <row r="20" spans="2:10" s="689" customFormat="1" ht="16.149999999999999" customHeight="1" x14ac:dyDescent="0.25">
      <c r="B20" s="943" t="s">
        <v>1473</v>
      </c>
      <c r="C20" s="778"/>
      <c r="D20" s="813"/>
      <c r="E20" s="952" t="s">
        <v>1521</v>
      </c>
      <c r="F20" s="690"/>
      <c r="H20" s="810"/>
      <c r="I20" s="697"/>
      <c r="J20" s="697"/>
    </row>
    <row r="21" spans="2:10" s="689" customFormat="1" x14ac:dyDescent="0.25">
      <c r="B21" s="943" t="s">
        <v>1474</v>
      </c>
      <c r="C21" s="778"/>
      <c r="D21" s="813"/>
      <c r="E21" s="953"/>
      <c r="F21" s="690"/>
      <c r="H21" s="810"/>
      <c r="I21" s="697"/>
      <c r="J21" s="697"/>
    </row>
    <row r="22" spans="2:10" s="689" customFormat="1" x14ac:dyDescent="0.25">
      <c r="B22" s="943" t="s">
        <v>1475</v>
      </c>
      <c r="C22" s="778"/>
      <c r="D22" s="813"/>
      <c r="E22" s="953"/>
      <c r="F22" s="690"/>
      <c r="H22" s="810"/>
      <c r="I22" s="697"/>
      <c r="J22" s="697"/>
    </row>
    <row r="23" spans="2:10" s="689" customFormat="1" x14ac:dyDescent="0.25">
      <c r="B23" s="943" t="s">
        <v>1476</v>
      </c>
      <c r="C23" s="778"/>
      <c r="D23" s="813"/>
      <c r="E23" s="953"/>
      <c r="F23" s="690"/>
      <c r="H23" s="810"/>
      <c r="I23" s="697"/>
      <c r="J23" s="697"/>
    </row>
    <row r="24" spans="2:10" s="689" customFormat="1" x14ac:dyDescent="0.25">
      <c r="B24" s="943" t="s">
        <v>1477</v>
      </c>
      <c r="C24" s="778"/>
      <c r="D24" s="813"/>
      <c r="E24" s="957"/>
      <c r="F24" s="690"/>
      <c r="H24" s="810"/>
      <c r="I24" s="697"/>
      <c r="J24" s="697"/>
    </row>
    <row r="25" spans="2:10" s="689" customFormat="1" x14ac:dyDescent="0.25">
      <c r="B25" s="753"/>
      <c r="C25" s="818"/>
      <c r="E25" s="735"/>
      <c r="H25" s="719"/>
      <c r="I25" s="816"/>
      <c r="J25" s="697"/>
    </row>
    <row r="26" spans="2:10" s="689" customFormat="1" ht="31.9" customHeight="1" x14ac:dyDescent="0.25">
      <c r="B26" s="753" t="s">
        <v>1480</v>
      </c>
      <c r="C26" s="778"/>
      <c r="D26" s="817" t="s">
        <v>1524</v>
      </c>
      <c r="E26" s="792"/>
      <c r="F26" s="770"/>
      <c r="H26" s="719"/>
      <c r="I26" s="697"/>
      <c r="J26" s="697"/>
    </row>
    <row r="27" spans="2:10" s="689" customFormat="1" ht="30" x14ac:dyDescent="0.25">
      <c r="B27" s="753" t="s">
        <v>1481</v>
      </c>
      <c r="C27" s="811"/>
      <c r="D27" s="812"/>
      <c r="E27" s="735"/>
      <c r="F27" s="690" t="s">
        <v>934</v>
      </c>
      <c r="H27" s="719"/>
      <c r="I27" s="697"/>
      <c r="J27" s="697"/>
    </row>
    <row r="28" spans="2:10" s="689" customFormat="1" ht="16.149999999999999" customHeight="1" x14ac:dyDescent="0.25">
      <c r="B28" s="943" t="s">
        <v>1473</v>
      </c>
      <c r="C28" s="778"/>
      <c r="D28" s="813"/>
      <c r="E28" s="952" t="s">
        <v>1525</v>
      </c>
      <c r="F28" s="690"/>
      <c r="H28" s="810"/>
      <c r="I28" s="697"/>
      <c r="J28" s="697"/>
    </row>
    <row r="29" spans="2:10" s="689" customFormat="1" ht="16.149999999999999" customHeight="1" x14ac:dyDescent="0.25">
      <c r="B29" s="943" t="s">
        <v>1474</v>
      </c>
      <c r="C29" s="778"/>
      <c r="D29" s="813"/>
      <c r="E29" s="953"/>
      <c r="F29" s="690"/>
      <c r="H29" s="810"/>
      <c r="I29" s="697"/>
      <c r="J29" s="697"/>
    </row>
    <row r="30" spans="2:10" s="689" customFormat="1" ht="16.149999999999999" customHeight="1" x14ac:dyDescent="0.25">
      <c r="B30" s="943" t="s">
        <v>1475</v>
      </c>
      <c r="C30" s="778"/>
      <c r="D30" s="813"/>
      <c r="E30" s="953"/>
      <c r="F30" s="690"/>
      <c r="H30" s="810"/>
      <c r="I30" s="697"/>
      <c r="J30" s="697"/>
    </row>
    <row r="31" spans="2:10" s="689" customFormat="1" ht="16.149999999999999" customHeight="1" x14ac:dyDescent="0.25">
      <c r="B31" s="943" t="s">
        <v>1476</v>
      </c>
      <c r="C31" s="778"/>
      <c r="D31" s="813"/>
      <c r="E31" s="953"/>
      <c r="F31" s="690"/>
      <c r="H31" s="810"/>
      <c r="I31" s="697"/>
      <c r="J31" s="697"/>
    </row>
    <row r="32" spans="2:10" s="689" customFormat="1" ht="16.149999999999999" customHeight="1" x14ac:dyDescent="0.25">
      <c r="B32" s="943" t="s">
        <v>1477</v>
      </c>
      <c r="C32" s="778"/>
      <c r="D32" s="813"/>
      <c r="E32" s="957"/>
      <c r="F32" s="690"/>
      <c r="H32" s="719"/>
      <c r="I32" s="816"/>
      <c r="J32" s="697"/>
    </row>
    <row r="33" spans="2:10" s="689" customFormat="1" x14ac:dyDescent="0.25">
      <c r="B33" s="753"/>
      <c r="C33" s="818" t="s">
        <v>1348</v>
      </c>
      <c r="E33" s="735"/>
      <c r="H33" s="719"/>
      <c r="I33" s="816"/>
      <c r="J33" s="697"/>
    </row>
    <row r="34" spans="2:10" s="689" customFormat="1" ht="49.9" customHeight="1" x14ac:dyDescent="0.25">
      <c r="B34" s="753" t="s">
        <v>1482</v>
      </c>
      <c r="C34" s="778"/>
      <c r="D34" s="809" t="s">
        <v>1527</v>
      </c>
      <c r="E34" s="762" t="s">
        <v>1526</v>
      </c>
      <c r="F34" s="750" t="s">
        <v>938</v>
      </c>
      <c r="I34" s="697"/>
      <c r="J34" s="697"/>
    </row>
    <row r="35" spans="2:10" s="689" customFormat="1" ht="16.149999999999999" customHeight="1" x14ac:dyDescent="0.25">
      <c r="B35" s="753" t="s">
        <v>1483</v>
      </c>
      <c r="C35" s="811"/>
      <c r="D35" s="811"/>
      <c r="E35" s="735"/>
      <c r="F35" s="690" t="s">
        <v>934</v>
      </c>
      <c r="H35" s="719"/>
      <c r="I35" s="697"/>
      <c r="J35" s="697"/>
    </row>
    <row r="36" spans="2:10" s="689" customFormat="1" ht="16.149999999999999" customHeight="1" x14ac:dyDescent="0.25">
      <c r="B36" s="943" t="s">
        <v>1473</v>
      </c>
      <c r="C36" s="778"/>
      <c r="D36" s="809"/>
      <c r="E36" s="952" t="s">
        <v>1528</v>
      </c>
      <c r="F36" s="690"/>
      <c r="H36" s="810"/>
      <c r="I36" s="697"/>
      <c r="J36" s="697"/>
    </row>
    <row r="37" spans="2:10" s="689" customFormat="1" ht="16.149999999999999" customHeight="1" x14ac:dyDescent="0.25">
      <c r="B37" s="943" t="s">
        <v>1474</v>
      </c>
      <c r="C37" s="778"/>
      <c r="D37" s="809"/>
      <c r="E37" s="953"/>
      <c r="F37" s="690"/>
      <c r="H37" s="810"/>
      <c r="I37" s="697"/>
      <c r="J37" s="697"/>
    </row>
    <row r="38" spans="2:10" s="689" customFormat="1" ht="16.149999999999999" customHeight="1" x14ac:dyDescent="0.25">
      <c r="B38" s="943" t="s">
        <v>1475</v>
      </c>
      <c r="C38" s="778"/>
      <c r="D38" s="809"/>
      <c r="E38" s="953"/>
      <c r="F38" s="690"/>
      <c r="H38" s="810"/>
      <c r="I38" s="697"/>
      <c r="J38" s="697"/>
    </row>
    <row r="39" spans="2:10" s="689" customFormat="1" ht="16.149999999999999" customHeight="1" x14ac:dyDescent="0.25">
      <c r="B39" s="943" t="s">
        <v>1476</v>
      </c>
      <c r="C39" s="778"/>
      <c r="D39" s="809"/>
      <c r="E39" s="953"/>
      <c r="F39" s="690"/>
      <c r="H39" s="810"/>
      <c r="I39" s="697"/>
      <c r="J39" s="697"/>
    </row>
    <row r="40" spans="2:10" s="689" customFormat="1" ht="16.149999999999999" customHeight="1" x14ac:dyDescent="0.25">
      <c r="B40" s="943" t="s">
        <v>1477</v>
      </c>
      <c r="C40" s="778"/>
      <c r="D40" s="809"/>
      <c r="E40" s="957"/>
      <c r="F40" s="690"/>
      <c r="H40" s="810"/>
      <c r="I40" s="697"/>
      <c r="J40" s="697"/>
    </row>
    <row r="41" spans="2:10" s="689" customFormat="1" x14ac:dyDescent="0.25">
      <c r="B41" s="753"/>
      <c r="C41" s="819">
        <v>0</v>
      </c>
      <c r="D41" s="820"/>
      <c r="E41" s="821"/>
      <c r="H41" s="719"/>
      <c r="I41" s="816"/>
      <c r="J41" s="697"/>
    </row>
    <row r="42" spans="2:10" s="689" customFormat="1" ht="31.9" customHeight="1" x14ac:dyDescent="0.25">
      <c r="B42" s="753" t="s">
        <v>1484</v>
      </c>
      <c r="C42" s="822"/>
      <c r="D42" s="823"/>
      <c r="E42" s="735"/>
      <c r="H42" s="719"/>
      <c r="I42" s="697"/>
      <c r="J42" s="697"/>
    </row>
    <row r="43" spans="2:10" s="689" customFormat="1" ht="16.149999999999999" customHeight="1" x14ac:dyDescent="0.25">
      <c r="B43" s="943" t="s">
        <v>1473</v>
      </c>
      <c r="C43" s="778"/>
      <c r="D43" s="824"/>
      <c r="E43" s="952" t="s">
        <v>1529</v>
      </c>
      <c r="H43" s="714"/>
      <c r="I43" s="697"/>
      <c r="J43" s="697"/>
    </row>
    <row r="44" spans="2:10" s="689" customFormat="1" ht="16.149999999999999" customHeight="1" x14ac:dyDescent="0.25">
      <c r="B44" s="943" t="s">
        <v>1474</v>
      </c>
      <c r="C44" s="778"/>
      <c r="D44" s="824"/>
      <c r="E44" s="953"/>
      <c r="H44" s="714"/>
      <c r="I44" s="697"/>
      <c r="J44" s="697"/>
    </row>
    <row r="45" spans="2:10" s="689" customFormat="1" ht="16.149999999999999" customHeight="1" x14ac:dyDescent="0.25">
      <c r="B45" s="943" t="s">
        <v>1475</v>
      </c>
      <c r="C45" s="778"/>
      <c r="D45" s="824"/>
      <c r="E45" s="953"/>
      <c r="H45" s="714"/>
      <c r="I45" s="697"/>
      <c r="J45" s="697"/>
    </row>
    <row r="46" spans="2:10" s="689" customFormat="1" ht="16.149999999999999" customHeight="1" x14ac:dyDescent="0.25">
      <c r="B46" s="943" t="s">
        <v>1476</v>
      </c>
      <c r="C46" s="778"/>
      <c r="D46" s="824"/>
      <c r="E46" s="953"/>
      <c r="H46" s="714"/>
      <c r="I46" s="697"/>
      <c r="J46" s="697"/>
    </row>
    <row r="47" spans="2:10" s="689" customFormat="1" ht="16.149999999999999" customHeight="1" x14ac:dyDescent="0.25">
      <c r="B47" s="943" t="s">
        <v>1477</v>
      </c>
      <c r="C47" s="778"/>
      <c r="D47" s="824"/>
      <c r="E47" s="957"/>
      <c r="H47" s="714"/>
      <c r="I47" s="697"/>
      <c r="J47" s="697"/>
    </row>
    <row r="48" spans="2:10" s="689" customFormat="1" x14ac:dyDescent="0.25">
      <c r="B48" s="753"/>
      <c r="C48" s="751"/>
      <c r="E48" s="735"/>
      <c r="H48" s="719"/>
      <c r="I48" s="816"/>
      <c r="J48" s="825"/>
    </row>
    <row r="49" spans="2:10" ht="31.9" customHeight="1" x14ac:dyDescent="0.25">
      <c r="B49" s="785" t="s">
        <v>1485</v>
      </c>
      <c r="C49" s="787"/>
      <c r="D49" s="788"/>
      <c r="E49" s="805" t="s">
        <v>1530</v>
      </c>
      <c r="F49" s="789"/>
    </row>
    <row r="50" spans="2:10" s="689" customFormat="1" ht="48" customHeight="1" x14ac:dyDescent="0.25">
      <c r="B50" s="753" t="s">
        <v>1486</v>
      </c>
      <c r="C50" s="806"/>
      <c r="D50" s="824"/>
      <c r="E50" s="762" t="s">
        <v>1531</v>
      </c>
      <c r="F50" s="793" t="s">
        <v>1278</v>
      </c>
      <c r="I50" s="697"/>
      <c r="J50" s="697"/>
    </row>
    <row r="51" spans="2:10" s="689" customFormat="1" ht="55.9" customHeight="1" x14ac:dyDescent="0.25">
      <c r="B51" s="826" t="str">
        <f>IF(C50="Yes","Costs below should be entered in terms of what this deployment will bear, e.g. if the project is bearing 50% of a $200 solar charger, then the cost will be $100.","")</f>
        <v/>
      </c>
      <c r="C51" s="818"/>
      <c r="E51" s="735"/>
      <c r="I51" s="697"/>
      <c r="J51" s="697"/>
    </row>
    <row r="52" spans="2:10" s="689" customFormat="1" ht="16.149999999999999" customHeight="1" x14ac:dyDescent="0.25">
      <c r="B52" s="753" t="s">
        <v>1488</v>
      </c>
      <c r="C52" s="778"/>
      <c r="D52" s="817" t="s">
        <v>1548</v>
      </c>
      <c r="E52" s="792"/>
      <c r="F52" s="750" t="s">
        <v>938</v>
      </c>
      <c r="I52" s="697"/>
      <c r="J52" s="697"/>
    </row>
    <row r="53" spans="2:10" s="689" customFormat="1" ht="16.149999999999999" customHeight="1" x14ac:dyDescent="0.25">
      <c r="B53" s="753" t="s">
        <v>1487</v>
      </c>
      <c r="C53" s="811"/>
      <c r="D53" s="811"/>
      <c r="E53" s="735"/>
      <c r="F53" s="690" t="s">
        <v>934</v>
      </c>
      <c r="H53" s="719"/>
      <c r="I53" s="697"/>
      <c r="J53" s="697"/>
    </row>
    <row r="54" spans="2:10" s="689" customFormat="1" ht="16.149999999999999" customHeight="1" x14ac:dyDescent="0.25">
      <c r="B54" s="943" t="s">
        <v>1473</v>
      </c>
      <c r="C54" s="778"/>
      <c r="D54" s="827"/>
      <c r="E54" s="952" t="s">
        <v>1532</v>
      </c>
      <c r="F54" s="690"/>
      <c r="I54" s="697"/>
      <c r="J54" s="828"/>
    </row>
    <row r="55" spans="2:10" s="689" customFormat="1" ht="16.149999999999999" customHeight="1" x14ac:dyDescent="0.25">
      <c r="B55" s="943" t="s">
        <v>1474</v>
      </c>
      <c r="C55" s="778"/>
      <c r="D55" s="827"/>
      <c r="E55" s="953"/>
      <c r="F55" s="690"/>
      <c r="I55" s="697"/>
      <c r="J55" s="828"/>
    </row>
    <row r="56" spans="2:10" s="689" customFormat="1" ht="16.149999999999999" customHeight="1" x14ac:dyDescent="0.25">
      <c r="B56" s="943" t="s">
        <v>1475</v>
      </c>
      <c r="C56" s="778"/>
      <c r="D56" s="827"/>
      <c r="E56" s="953"/>
      <c r="F56" s="690"/>
      <c r="I56" s="697"/>
      <c r="J56" s="828"/>
    </row>
    <row r="57" spans="2:10" s="689" customFormat="1" ht="16.149999999999999" customHeight="1" x14ac:dyDescent="0.25">
      <c r="B57" s="943" t="s">
        <v>1476</v>
      </c>
      <c r="C57" s="778"/>
      <c r="D57" s="827"/>
      <c r="E57" s="953"/>
      <c r="F57" s="690"/>
      <c r="I57" s="697"/>
      <c r="J57" s="828"/>
    </row>
    <row r="58" spans="2:10" s="689" customFormat="1" ht="16.149999999999999" customHeight="1" x14ac:dyDescent="0.25">
      <c r="B58" s="943" t="s">
        <v>1477</v>
      </c>
      <c r="C58" s="778"/>
      <c r="D58" s="827"/>
      <c r="E58" s="957"/>
      <c r="F58" s="690"/>
      <c r="I58" s="697"/>
      <c r="J58" s="828"/>
    </row>
    <row r="59" spans="2:10" s="689" customFormat="1" x14ac:dyDescent="0.25">
      <c r="B59" s="753"/>
      <c r="C59" s="829"/>
      <c r="E59" s="735"/>
      <c r="H59" s="719"/>
      <c r="I59" s="816"/>
      <c r="J59" s="697"/>
    </row>
    <row r="60" spans="2:10" s="689" customFormat="1" ht="31.9" customHeight="1" x14ac:dyDescent="0.25">
      <c r="B60" s="753" t="s">
        <v>1489</v>
      </c>
      <c r="C60" s="830"/>
      <c r="D60" s="831"/>
      <c r="E60" s="735"/>
      <c r="F60" s="690" t="s">
        <v>934</v>
      </c>
      <c r="H60" s="719"/>
      <c r="I60" s="697"/>
      <c r="J60" s="697"/>
    </row>
    <row r="61" spans="2:10" s="689" customFormat="1" ht="16.149999999999999" customHeight="1" x14ac:dyDescent="0.25">
      <c r="B61" s="943" t="s">
        <v>1473</v>
      </c>
      <c r="C61" s="778"/>
      <c r="D61" s="824"/>
      <c r="E61" s="952" t="s">
        <v>1533</v>
      </c>
      <c r="F61" s="690"/>
      <c r="H61" s="714"/>
      <c r="I61" s="697"/>
      <c r="J61" s="697"/>
    </row>
    <row r="62" spans="2:10" s="689" customFormat="1" x14ac:dyDescent="0.25">
      <c r="B62" s="943" t="s">
        <v>1474</v>
      </c>
      <c r="C62" s="778"/>
      <c r="D62" s="824"/>
      <c r="E62" s="953"/>
      <c r="F62" s="690"/>
      <c r="H62" s="714"/>
      <c r="I62" s="697"/>
      <c r="J62" s="697"/>
    </row>
    <row r="63" spans="2:10" s="689" customFormat="1" x14ac:dyDescent="0.25">
      <c r="B63" s="943" t="s">
        <v>1475</v>
      </c>
      <c r="C63" s="778"/>
      <c r="D63" s="824"/>
      <c r="E63" s="953"/>
      <c r="F63" s="690"/>
      <c r="H63" s="714"/>
      <c r="I63" s="697"/>
      <c r="J63" s="697"/>
    </row>
    <row r="64" spans="2:10" s="689" customFormat="1" x14ac:dyDescent="0.25">
      <c r="B64" s="943" t="s">
        <v>1476</v>
      </c>
      <c r="C64" s="778"/>
      <c r="D64" s="824"/>
      <c r="E64" s="953"/>
      <c r="F64" s="690"/>
      <c r="H64" s="714"/>
      <c r="I64" s="697"/>
      <c r="J64" s="697"/>
    </row>
    <row r="65" spans="1:10" s="689" customFormat="1" x14ac:dyDescent="0.25">
      <c r="B65" s="943" t="s">
        <v>1477</v>
      </c>
      <c r="C65" s="778"/>
      <c r="D65" s="824"/>
      <c r="E65" s="957"/>
      <c r="F65" s="690"/>
      <c r="H65" s="719"/>
      <c r="I65" s="816"/>
      <c r="J65" s="697"/>
    </row>
    <row r="66" spans="1:10" s="689" customFormat="1" x14ac:dyDescent="0.25">
      <c r="B66" s="753"/>
      <c r="C66" s="801"/>
      <c r="D66" s="832"/>
      <c r="E66" s="833"/>
      <c r="F66" s="832"/>
      <c r="H66" s="719"/>
      <c r="I66" s="816"/>
      <c r="J66" s="825"/>
    </row>
    <row r="67" spans="1:10" ht="31.9" customHeight="1" x14ac:dyDescent="0.25">
      <c r="B67" s="834" t="s">
        <v>1490</v>
      </c>
      <c r="C67" s="787"/>
      <c r="D67" s="788"/>
      <c r="E67" s="805" t="s">
        <v>1534</v>
      </c>
      <c r="F67" s="789"/>
    </row>
    <row r="68" spans="1:10" s="689" customFormat="1" ht="48" customHeight="1" x14ac:dyDescent="0.25">
      <c r="B68" s="753" t="s">
        <v>1491</v>
      </c>
      <c r="C68" s="778"/>
      <c r="D68" s="835"/>
      <c r="E68" s="762" t="s">
        <v>1535</v>
      </c>
      <c r="F68" s="793" t="s">
        <v>1278</v>
      </c>
      <c r="G68" s="697"/>
      <c r="I68" s="697"/>
      <c r="J68" s="697"/>
    </row>
    <row r="69" spans="1:10" s="689" customFormat="1" ht="16.149999999999999" customHeight="1" x14ac:dyDescent="0.25">
      <c r="B69" s="753" t="s">
        <v>1492</v>
      </c>
      <c r="C69" s="836"/>
      <c r="D69" s="811"/>
      <c r="E69" s="735"/>
      <c r="F69" s="690" t="s">
        <v>936</v>
      </c>
      <c r="G69" s="697"/>
      <c r="I69" s="697"/>
      <c r="J69" s="697"/>
    </row>
    <row r="70" spans="1:10" s="689" customFormat="1" ht="16.149999999999999" customHeight="1" x14ac:dyDescent="0.25">
      <c r="A70" s="689" t="s">
        <v>1348</v>
      </c>
      <c r="B70" s="943" t="s">
        <v>1473</v>
      </c>
      <c r="C70" s="778"/>
      <c r="D70" s="809"/>
      <c r="E70" s="952" t="s">
        <v>1536</v>
      </c>
      <c r="F70" s="690"/>
      <c r="G70" s="838"/>
      <c r="H70" s="814"/>
      <c r="I70" s="697"/>
      <c r="J70" s="697"/>
    </row>
    <row r="71" spans="1:10" s="689" customFormat="1" ht="16.149999999999999" customHeight="1" x14ac:dyDescent="0.25">
      <c r="B71" s="943" t="s">
        <v>1474</v>
      </c>
      <c r="C71" s="778"/>
      <c r="D71" s="809"/>
      <c r="E71" s="953"/>
      <c r="F71" s="690"/>
      <c r="G71" s="838"/>
      <c r="H71" s="814"/>
      <c r="I71" s="697"/>
      <c r="J71" s="697"/>
    </row>
    <row r="72" spans="1:10" s="689" customFormat="1" ht="16.149999999999999" customHeight="1" x14ac:dyDescent="0.25">
      <c r="B72" s="943" t="s">
        <v>1475</v>
      </c>
      <c r="C72" s="778"/>
      <c r="D72" s="809"/>
      <c r="E72" s="953"/>
      <c r="F72" s="690"/>
      <c r="G72" s="838"/>
      <c r="H72" s="814"/>
      <c r="I72" s="697"/>
      <c r="J72" s="697"/>
    </row>
    <row r="73" spans="1:10" s="689" customFormat="1" ht="16.149999999999999" customHeight="1" x14ac:dyDescent="0.25">
      <c r="B73" s="943" t="s">
        <v>1476</v>
      </c>
      <c r="C73" s="778"/>
      <c r="D73" s="809"/>
      <c r="E73" s="953"/>
      <c r="F73" s="690"/>
      <c r="G73" s="838"/>
      <c r="H73" s="814"/>
      <c r="I73" s="697"/>
      <c r="J73" s="697"/>
    </row>
    <row r="74" spans="1:10" s="689" customFormat="1" ht="16.149999999999999" customHeight="1" x14ac:dyDescent="0.25">
      <c r="B74" s="943" t="s">
        <v>1477</v>
      </c>
      <c r="C74" s="778"/>
      <c r="D74" s="809"/>
      <c r="E74" s="957"/>
      <c r="F74" s="690"/>
      <c r="G74" s="838"/>
      <c r="H74" s="814"/>
      <c r="I74" s="697"/>
      <c r="J74" s="697"/>
    </row>
    <row r="75" spans="1:10" s="689" customFormat="1" ht="28.15" customHeight="1" x14ac:dyDescent="0.25">
      <c r="B75" s="753" t="s">
        <v>1493</v>
      </c>
      <c r="C75" s="822"/>
      <c r="D75" s="831"/>
      <c r="E75" s="735"/>
      <c r="F75" s="770"/>
      <c r="G75" s="697"/>
      <c r="I75" s="697"/>
      <c r="J75" s="697"/>
    </row>
    <row r="76" spans="1:10" s="689" customFormat="1" ht="16.149999999999999" customHeight="1" x14ac:dyDescent="0.25">
      <c r="B76" s="943" t="s">
        <v>1473</v>
      </c>
      <c r="C76" s="778"/>
      <c r="D76" s="824"/>
      <c r="E76" s="952"/>
      <c r="F76" s="770"/>
      <c r="G76" s="828"/>
      <c r="I76" s="697"/>
      <c r="J76" s="697"/>
    </row>
    <row r="77" spans="1:10" s="689" customFormat="1" ht="16.149999999999999" customHeight="1" x14ac:dyDescent="0.25">
      <c r="B77" s="943" t="s">
        <v>1474</v>
      </c>
      <c r="C77" s="778"/>
      <c r="D77" s="824"/>
      <c r="E77" s="953"/>
      <c r="F77" s="770"/>
      <c r="G77" s="697"/>
      <c r="I77" s="697"/>
      <c r="J77" s="697"/>
    </row>
    <row r="78" spans="1:10" s="689" customFormat="1" ht="16.149999999999999" customHeight="1" x14ac:dyDescent="0.25">
      <c r="B78" s="943" t="s">
        <v>1475</v>
      </c>
      <c r="C78" s="778"/>
      <c r="D78" s="824"/>
      <c r="E78" s="953"/>
      <c r="F78" s="770"/>
      <c r="G78" s="697"/>
      <c r="I78" s="697"/>
      <c r="J78" s="697"/>
    </row>
    <row r="79" spans="1:10" s="689" customFormat="1" ht="16.149999999999999" customHeight="1" x14ac:dyDescent="0.25">
      <c r="B79" s="943" t="s">
        <v>1476</v>
      </c>
      <c r="C79" s="778"/>
      <c r="D79" s="824"/>
      <c r="E79" s="953"/>
      <c r="F79" s="770"/>
      <c r="G79" s="697"/>
      <c r="I79" s="697"/>
      <c r="J79" s="697"/>
    </row>
    <row r="80" spans="1:10" s="689" customFormat="1" ht="16.149999999999999" customHeight="1" x14ac:dyDescent="0.25">
      <c r="B80" s="943" t="s">
        <v>1477</v>
      </c>
      <c r="C80" s="778"/>
      <c r="D80" s="824"/>
      <c r="E80" s="957"/>
      <c r="F80" s="770"/>
      <c r="G80" s="697"/>
      <c r="H80" s="719"/>
      <c r="I80" s="816"/>
      <c r="J80" s="697"/>
    </row>
    <row r="81" spans="2:10" s="689" customFormat="1" x14ac:dyDescent="0.25">
      <c r="B81" s="758"/>
      <c r="C81" s="801"/>
      <c r="D81" s="832"/>
      <c r="E81" s="770"/>
      <c r="F81" s="832"/>
      <c r="H81" s="719"/>
      <c r="I81" s="816"/>
      <c r="J81" s="825"/>
    </row>
    <row r="82" spans="2:10" ht="30" x14ac:dyDescent="0.25">
      <c r="B82" s="834" t="s">
        <v>1494</v>
      </c>
      <c r="C82" s="787"/>
      <c r="D82" s="788"/>
      <c r="E82" s="805" t="s">
        <v>1537</v>
      </c>
      <c r="F82" s="839"/>
    </row>
    <row r="83" spans="2:10" s="689" customFormat="1" ht="79.900000000000006" customHeight="1" x14ac:dyDescent="0.25">
      <c r="B83" s="753" t="s">
        <v>1495</v>
      </c>
      <c r="C83" s="778"/>
      <c r="D83" s="835"/>
      <c r="E83" s="762" t="s">
        <v>1538</v>
      </c>
      <c r="F83" s="690" t="s">
        <v>934</v>
      </c>
      <c r="I83" s="697"/>
      <c r="J83" s="697"/>
    </row>
    <row r="84" spans="2:10" s="689" customFormat="1" ht="30" x14ac:dyDescent="0.25">
      <c r="B84" s="753" t="s">
        <v>1496</v>
      </c>
      <c r="C84" s="836"/>
      <c r="D84" s="840"/>
      <c r="E84" s="735"/>
      <c r="F84" s="770"/>
      <c r="I84" s="697"/>
      <c r="J84" s="697"/>
    </row>
    <row r="85" spans="2:10" s="689" customFormat="1" ht="16.149999999999999" customHeight="1" x14ac:dyDescent="0.25">
      <c r="B85" s="943" t="s">
        <v>1473</v>
      </c>
      <c r="C85" s="778"/>
      <c r="D85" s="824"/>
      <c r="E85" s="952" t="s">
        <v>1539</v>
      </c>
      <c r="F85" s="770"/>
      <c r="I85" s="697"/>
      <c r="J85" s="697"/>
    </row>
    <row r="86" spans="2:10" s="689" customFormat="1" ht="16.149999999999999" customHeight="1" x14ac:dyDescent="0.25">
      <c r="B86" s="943" t="s">
        <v>1474</v>
      </c>
      <c r="C86" s="778"/>
      <c r="D86" s="824"/>
      <c r="E86" s="953"/>
      <c r="F86" s="770"/>
      <c r="I86" s="697"/>
      <c r="J86" s="697"/>
    </row>
    <row r="87" spans="2:10" s="689" customFormat="1" ht="16.149999999999999" customHeight="1" x14ac:dyDescent="0.25">
      <c r="B87" s="943" t="s">
        <v>1475</v>
      </c>
      <c r="C87" s="778"/>
      <c r="D87" s="824"/>
      <c r="E87" s="953"/>
      <c r="F87" s="770"/>
      <c r="I87" s="697"/>
      <c r="J87" s="697"/>
    </row>
    <row r="88" spans="2:10" s="689" customFormat="1" ht="16.149999999999999" customHeight="1" x14ac:dyDescent="0.25">
      <c r="B88" s="943" t="s">
        <v>1476</v>
      </c>
      <c r="C88" s="778"/>
      <c r="D88" s="824"/>
      <c r="E88" s="953"/>
      <c r="F88" s="770"/>
      <c r="I88" s="697"/>
      <c r="J88" s="697"/>
    </row>
    <row r="89" spans="2:10" s="689" customFormat="1" ht="16.149999999999999" customHeight="1" x14ac:dyDescent="0.25">
      <c r="B89" s="943" t="s">
        <v>1477</v>
      </c>
      <c r="C89" s="778"/>
      <c r="D89" s="824"/>
      <c r="E89" s="957"/>
      <c r="F89" s="770"/>
      <c r="I89" s="697"/>
      <c r="J89" s="697"/>
    </row>
    <row r="90" spans="2:10" s="689" customFormat="1" x14ac:dyDescent="0.25">
      <c r="B90" s="753"/>
      <c r="C90" s="841"/>
      <c r="D90" s="832"/>
      <c r="E90" s="833"/>
      <c r="F90" s="832"/>
      <c r="H90" s="719"/>
      <c r="I90" s="816"/>
      <c r="J90" s="697"/>
    </row>
    <row r="91" spans="2:10" ht="31.9" customHeight="1" x14ac:dyDescent="0.25">
      <c r="B91" s="834" t="s">
        <v>1497</v>
      </c>
      <c r="C91" s="842"/>
      <c r="D91" s="788"/>
      <c r="E91" s="805" t="s">
        <v>1540</v>
      </c>
      <c r="F91" s="839"/>
    </row>
    <row r="92" spans="2:10" s="689" customFormat="1" ht="31.9" customHeight="1" x14ac:dyDescent="0.25">
      <c r="B92" s="753" t="s">
        <v>1498</v>
      </c>
      <c r="C92" s="778"/>
      <c r="D92" s="835"/>
      <c r="E92" s="762" t="s">
        <v>1538</v>
      </c>
      <c r="F92" s="690" t="s">
        <v>934</v>
      </c>
      <c r="I92" s="697"/>
      <c r="J92" s="697"/>
    </row>
    <row r="93" spans="2:10" s="689" customFormat="1" ht="31.9" customHeight="1" x14ac:dyDescent="0.25">
      <c r="B93" s="753" t="s">
        <v>1499</v>
      </c>
      <c r="C93" s="836"/>
      <c r="D93" s="840"/>
      <c r="E93" s="735"/>
      <c r="F93" s="770"/>
      <c r="I93" s="697"/>
      <c r="J93" s="697"/>
    </row>
    <row r="94" spans="2:10" s="689" customFormat="1" ht="16.149999999999999" customHeight="1" x14ac:dyDescent="0.25">
      <c r="B94" s="943" t="s">
        <v>1473</v>
      </c>
      <c r="C94" s="778"/>
      <c r="D94" s="824"/>
      <c r="E94" s="952" t="s">
        <v>1539</v>
      </c>
      <c r="F94" s="770"/>
      <c r="I94" s="697"/>
      <c r="J94" s="697"/>
    </row>
    <row r="95" spans="2:10" s="689" customFormat="1" ht="16.149999999999999" customHeight="1" x14ac:dyDescent="0.25">
      <c r="B95" s="943" t="s">
        <v>1474</v>
      </c>
      <c r="C95" s="778"/>
      <c r="D95" s="824"/>
      <c r="E95" s="953"/>
      <c r="F95" s="770"/>
      <c r="I95" s="697"/>
      <c r="J95" s="697"/>
    </row>
    <row r="96" spans="2:10" s="689" customFormat="1" ht="16.149999999999999" customHeight="1" x14ac:dyDescent="0.25">
      <c r="B96" s="943" t="s">
        <v>1475</v>
      </c>
      <c r="C96" s="778"/>
      <c r="D96" s="824"/>
      <c r="E96" s="953"/>
      <c r="F96" s="770"/>
      <c r="I96" s="697"/>
      <c r="J96" s="697"/>
    </row>
    <row r="97" spans="2:10" s="689" customFormat="1" ht="16.149999999999999" customHeight="1" x14ac:dyDescent="0.25">
      <c r="B97" s="943" t="s">
        <v>1476</v>
      </c>
      <c r="C97" s="778"/>
      <c r="D97" s="824"/>
      <c r="E97" s="953"/>
      <c r="F97" s="770"/>
      <c r="I97" s="697"/>
      <c r="J97" s="697"/>
    </row>
    <row r="98" spans="2:10" s="689" customFormat="1" ht="16.149999999999999" customHeight="1" x14ac:dyDescent="0.25">
      <c r="B98" s="943" t="s">
        <v>1477</v>
      </c>
      <c r="C98" s="778"/>
      <c r="D98" s="824"/>
      <c r="E98" s="957"/>
      <c r="F98" s="770"/>
      <c r="I98" s="697"/>
      <c r="J98" s="697"/>
    </row>
    <row r="99" spans="2:10" s="689" customFormat="1" x14ac:dyDescent="0.25">
      <c r="B99" s="758"/>
      <c r="C99" s="801"/>
      <c r="D99" s="832"/>
      <c r="E99" s="833"/>
      <c r="F99" s="832"/>
      <c r="H99" s="719"/>
      <c r="I99" s="816"/>
      <c r="J99" s="697"/>
    </row>
    <row r="100" spans="2:10" ht="45" x14ac:dyDescent="0.25">
      <c r="B100" s="834" t="s">
        <v>1500</v>
      </c>
      <c r="C100" s="787"/>
      <c r="D100" s="788"/>
      <c r="E100" s="805" t="s">
        <v>1540</v>
      </c>
      <c r="F100" s="839"/>
    </row>
    <row r="101" spans="2:10" s="689" customFormat="1" ht="48" customHeight="1" x14ac:dyDescent="0.25">
      <c r="B101" s="753" t="s">
        <v>1501</v>
      </c>
      <c r="C101" s="778"/>
      <c r="D101" s="835"/>
      <c r="E101" s="762" t="s">
        <v>1541</v>
      </c>
      <c r="F101" s="690" t="s">
        <v>936</v>
      </c>
      <c r="I101" s="697"/>
      <c r="J101" s="697"/>
    </row>
    <row r="102" spans="2:10" s="689" customFormat="1" ht="30" x14ac:dyDescent="0.25">
      <c r="B102" s="753" t="s">
        <v>1502</v>
      </c>
      <c r="C102" s="836"/>
      <c r="D102" s="811"/>
      <c r="E102" s="735"/>
      <c r="F102" s="690" t="s">
        <v>937</v>
      </c>
      <c r="I102" s="697"/>
      <c r="J102" s="697"/>
    </row>
    <row r="103" spans="2:10" s="689" customFormat="1" ht="16.149999999999999" customHeight="1" x14ac:dyDescent="0.25">
      <c r="B103" s="943" t="s">
        <v>1473</v>
      </c>
      <c r="C103" s="778"/>
      <c r="D103" s="809"/>
      <c r="E103" s="952" t="s">
        <v>1542</v>
      </c>
      <c r="F103" s="690"/>
      <c r="I103" s="697"/>
      <c r="J103" s="697"/>
    </row>
    <row r="104" spans="2:10" s="689" customFormat="1" ht="16.149999999999999" customHeight="1" x14ac:dyDescent="0.25">
      <c r="B104" s="943" t="s">
        <v>1474</v>
      </c>
      <c r="C104" s="778"/>
      <c r="D104" s="809"/>
      <c r="E104" s="953"/>
      <c r="F104" s="690"/>
      <c r="I104" s="697"/>
      <c r="J104" s="697"/>
    </row>
    <row r="105" spans="2:10" s="689" customFormat="1" ht="16.149999999999999" customHeight="1" x14ac:dyDescent="0.25">
      <c r="B105" s="943" t="s">
        <v>1475</v>
      </c>
      <c r="C105" s="778"/>
      <c r="D105" s="809"/>
      <c r="E105" s="953"/>
      <c r="F105" s="690"/>
      <c r="I105" s="697"/>
      <c r="J105" s="697"/>
    </row>
    <row r="106" spans="2:10" s="689" customFormat="1" ht="16.149999999999999" customHeight="1" x14ac:dyDescent="0.25">
      <c r="B106" s="943" t="s">
        <v>1476</v>
      </c>
      <c r="C106" s="778"/>
      <c r="D106" s="809"/>
      <c r="E106" s="953"/>
      <c r="F106" s="690"/>
      <c r="I106" s="697"/>
      <c r="J106" s="697"/>
    </row>
    <row r="107" spans="2:10" s="689" customFormat="1" ht="16.149999999999999" customHeight="1" x14ac:dyDescent="0.25">
      <c r="B107" s="943" t="s">
        <v>1477</v>
      </c>
      <c r="C107" s="778"/>
      <c r="D107" s="809"/>
      <c r="E107" s="957"/>
      <c r="F107" s="690"/>
      <c r="I107" s="697"/>
      <c r="J107" s="697"/>
    </row>
    <row r="108" spans="2:10" s="689" customFormat="1" ht="16.149999999999999" customHeight="1" x14ac:dyDescent="0.25">
      <c r="B108" s="753" t="s">
        <v>1503</v>
      </c>
      <c r="C108" s="830"/>
      <c r="D108" s="822"/>
      <c r="E108" s="735"/>
      <c r="F108" s="690" t="s">
        <v>939</v>
      </c>
      <c r="I108" s="697"/>
      <c r="J108" s="697"/>
    </row>
    <row r="109" spans="2:10" s="689" customFormat="1" ht="16.149999999999999" customHeight="1" x14ac:dyDescent="0.25">
      <c r="B109" s="943" t="s">
        <v>1473</v>
      </c>
      <c r="C109" s="843"/>
      <c r="D109" s="844"/>
      <c r="E109" s="952" t="s">
        <v>1543</v>
      </c>
      <c r="F109" s="690"/>
      <c r="I109" s="697"/>
      <c r="J109" s="697"/>
    </row>
    <row r="110" spans="2:10" s="689" customFormat="1" ht="16.149999999999999" customHeight="1" x14ac:dyDescent="0.25">
      <c r="B110" s="943" t="s">
        <v>1474</v>
      </c>
      <c r="C110" s="778"/>
      <c r="D110" s="809"/>
      <c r="E110" s="953"/>
      <c r="F110" s="690"/>
      <c r="I110" s="697"/>
      <c r="J110" s="697"/>
    </row>
    <row r="111" spans="2:10" s="689" customFormat="1" ht="16.149999999999999" customHeight="1" x14ac:dyDescent="0.25">
      <c r="B111" s="943" t="s">
        <v>1475</v>
      </c>
      <c r="C111" s="778"/>
      <c r="D111" s="809"/>
      <c r="E111" s="953"/>
      <c r="F111" s="690"/>
      <c r="I111" s="697"/>
      <c r="J111" s="697"/>
    </row>
    <row r="112" spans="2:10" s="689" customFormat="1" ht="16.149999999999999" customHeight="1" x14ac:dyDescent="0.25">
      <c r="B112" s="943" t="s">
        <v>1476</v>
      </c>
      <c r="C112" s="778"/>
      <c r="D112" s="809"/>
      <c r="E112" s="953"/>
      <c r="F112" s="690"/>
      <c r="I112" s="697"/>
      <c r="J112" s="697"/>
    </row>
    <row r="113" spans="2:10" s="689" customFormat="1" ht="16.149999999999999" customHeight="1" x14ac:dyDescent="0.25">
      <c r="B113" s="943" t="s">
        <v>1477</v>
      </c>
      <c r="C113" s="778"/>
      <c r="D113" s="809"/>
      <c r="E113" s="957"/>
      <c r="F113" s="690"/>
      <c r="I113" s="697"/>
      <c r="J113" s="697"/>
    </row>
    <row r="114" spans="2:10" s="689" customFormat="1" x14ac:dyDescent="0.25">
      <c r="B114" s="753"/>
      <c r="C114" s="801"/>
      <c r="D114" s="735"/>
      <c r="E114" s="764"/>
      <c r="H114" s="719"/>
      <c r="I114" s="816"/>
      <c r="J114" s="825"/>
    </row>
    <row r="115" spans="2:10" ht="31.9" customHeight="1" x14ac:dyDescent="0.25">
      <c r="B115" s="834" t="s">
        <v>1504</v>
      </c>
      <c r="C115" s="787"/>
      <c r="D115" s="788"/>
      <c r="E115" s="788" t="s">
        <v>1544</v>
      </c>
      <c r="F115" s="839"/>
    </row>
    <row r="116" spans="2:10" x14ac:dyDescent="0.25">
      <c r="B116" s="845" t="s">
        <v>1505</v>
      </c>
      <c r="D116" s="767"/>
      <c r="F116" s="846"/>
    </row>
    <row r="117" spans="2:10" ht="48" customHeight="1" x14ac:dyDescent="0.25">
      <c r="B117" s="847" t="s">
        <v>1506</v>
      </c>
      <c r="C117" s="778"/>
      <c r="D117" s="835"/>
      <c r="E117" s="762" t="s">
        <v>1545</v>
      </c>
      <c r="F117" s="846"/>
      <c r="H117" s="719"/>
    </row>
    <row r="118" spans="2:10" x14ac:dyDescent="0.25">
      <c r="B118" s="847"/>
      <c r="D118" s="767"/>
      <c r="F118" s="846"/>
    </row>
    <row r="119" spans="2:10" x14ac:dyDescent="0.25">
      <c r="B119" s="845" t="s">
        <v>1507</v>
      </c>
      <c r="C119" s="848"/>
      <c r="D119" s="831"/>
      <c r="F119" s="846"/>
    </row>
    <row r="120" spans="2:10" s="689" customFormat="1" ht="31.9" customHeight="1" x14ac:dyDescent="0.25">
      <c r="B120" s="753" t="s">
        <v>1508</v>
      </c>
      <c r="C120" s="773"/>
      <c r="D120" s="824"/>
      <c r="E120" s="762" t="s">
        <v>1546</v>
      </c>
      <c r="F120" s="690" t="s">
        <v>934</v>
      </c>
    </row>
    <row r="121" spans="2:10" s="689" customFormat="1" ht="31.9" customHeight="1" x14ac:dyDescent="0.25">
      <c r="B121" s="753" t="s">
        <v>1509</v>
      </c>
      <c r="C121" s="811"/>
      <c r="D121" s="849"/>
      <c r="E121" s="735"/>
      <c r="F121" s="750" t="s">
        <v>934</v>
      </c>
    </row>
    <row r="122" spans="2:10" s="689" customFormat="1" ht="16.149999999999999" customHeight="1" x14ac:dyDescent="0.25">
      <c r="B122" s="943" t="s">
        <v>1473</v>
      </c>
      <c r="C122" s="778"/>
      <c r="D122" s="835"/>
      <c r="E122" s="952" t="s">
        <v>1547</v>
      </c>
      <c r="F122" s="690"/>
      <c r="H122" s="850"/>
    </row>
    <row r="123" spans="2:10" s="689" customFormat="1" x14ac:dyDescent="0.25">
      <c r="B123" s="943" t="s">
        <v>1474</v>
      </c>
      <c r="C123" s="778"/>
      <c r="D123" s="835"/>
      <c r="E123" s="953"/>
      <c r="F123" s="690"/>
      <c r="H123" s="850"/>
    </row>
    <row r="124" spans="2:10" s="689" customFormat="1" x14ac:dyDescent="0.25">
      <c r="B124" s="943" t="s">
        <v>1475</v>
      </c>
      <c r="C124" s="778"/>
      <c r="D124" s="835"/>
      <c r="E124" s="953"/>
      <c r="F124" s="690"/>
    </row>
    <row r="125" spans="2:10" s="689" customFormat="1" x14ac:dyDescent="0.25">
      <c r="B125" s="943" t="s">
        <v>1476</v>
      </c>
      <c r="C125" s="778"/>
      <c r="D125" s="835"/>
      <c r="E125" s="953"/>
      <c r="F125" s="690"/>
      <c r="H125" s="850"/>
    </row>
    <row r="126" spans="2:10" s="689" customFormat="1" x14ac:dyDescent="0.25">
      <c r="B126" s="943" t="s">
        <v>1477</v>
      </c>
      <c r="C126" s="778"/>
      <c r="D126" s="835"/>
      <c r="E126" s="957"/>
      <c r="F126" s="690"/>
      <c r="H126" s="851"/>
    </row>
    <row r="127" spans="2:10" s="689" customFormat="1" x14ac:dyDescent="0.25">
      <c r="B127" s="795"/>
      <c r="C127" s="852"/>
      <c r="D127" s="853"/>
      <c r="E127" s="735"/>
      <c r="F127" s="690"/>
      <c r="H127" s="810"/>
    </row>
    <row r="128" spans="2:10" s="689" customFormat="1" ht="30" x14ac:dyDescent="0.25">
      <c r="B128" s="753" t="s">
        <v>1510</v>
      </c>
      <c r="C128" s="778"/>
      <c r="D128" s="817" t="s">
        <v>1549</v>
      </c>
      <c r="E128" s="854"/>
      <c r="F128" s="690"/>
      <c r="H128" s="851"/>
    </row>
    <row r="129" spans="2:9" s="689" customFormat="1" ht="30" x14ac:dyDescent="0.25">
      <c r="B129" s="753" t="s">
        <v>1511</v>
      </c>
      <c r="C129" s="811"/>
      <c r="D129" s="811"/>
      <c r="E129" s="735"/>
      <c r="F129" s="690"/>
    </row>
    <row r="130" spans="2:9" s="689" customFormat="1" ht="16.149999999999999" customHeight="1" x14ac:dyDescent="0.25">
      <c r="B130" s="943" t="s">
        <v>1473</v>
      </c>
      <c r="C130" s="778"/>
      <c r="D130" s="827">
        <f>'Ambito de Implementação'!C18</f>
        <v>0</v>
      </c>
      <c r="E130" s="952" t="s">
        <v>1551</v>
      </c>
      <c r="F130" s="690"/>
    </row>
    <row r="131" spans="2:9" s="689" customFormat="1" ht="16.149999999999999" customHeight="1" x14ac:dyDescent="0.25">
      <c r="B131" s="943" t="s">
        <v>1474</v>
      </c>
      <c r="C131" s="778"/>
      <c r="D131" s="827">
        <f>'Ambito de Implementação'!C19</f>
        <v>0</v>
      </c>
      <c r="E131" s="953"/>
      <c r="F131" s="690"/>
    </row>
    <row r="132" spans="2:9" s="689" customFormat="1" ht="16.149999999999999" customHeight="1" x14ac:dyDescent="0.25">
      <c r="B132" s="943" t="s">
        <v>1475</v>
      </c>
      <c r="C132" s="778"/>
      <c r="D132" s="827">
        <f>'Ambito de Implementação'!C20</f>
        <v>0</v>
      </c>
      <c r="E132" s="953"/>
      <c r="F132" s="690"/>
    </row>
    <row r="133" spans="2:9" s="689" customFormat="1" ht="16.149999999999999" customHeight="1" x14ac:dyDescent="0.25">
      <c r="B133" s="943" t="s">
        <v>1476</v>
      </c>
      <c r="C133" s="778"/>
      <c r="D133" s="827">
        <f>'Ambito de Implementação'!C21</f>
        <v>0</v>
      </c>
      <c r="E133" s="953"/>
      <c r="F133" s="690"/>
    </row>
    <row r="134" spans="2:9" s="689" customFormat="1" ht="16.149999999999999" customHeight="1" x14ac:dyDescent="0.25">
      <c r="B134" s="943" t="s">
        <v>1477</v>
      </c>
      <c r="C134" s="778"/>
      <c r="D134" s="827">
        <f>'Ambito de Implementação'!C22</f>
        <v>0</v>
      </c>
      <c r="E134" s="957"/>
      <c r="F134" s="690"/>
    </row>
    <row r="135" spans="2:9" s="689" customFormat="1" x14ac:dyDescent="0.25">
      <c r="B135" s="837"/>
      <c r="C135" s="855"/>
      <c r="D135" s="855"/>
      <c r="E135" s="735"/>
      <c r="F135" s="690"/>
      <c r="I135" s="856"/>
    </row>
    <row r="136" spans="2:9" s="689" customFormat="1" ht="31.9" customHeight="1" x14ac:dyDescent="0.25">
      <c r="B136" s="847" t="s">
        <v>1512</v>
      </c>
      <c r="C136" s="778"/>
      <c r="D136" s="794" t="s">
        <v>1550</v>
      </c>
      <c r="E136" s="792"/>
      <c r="F136" s="690"/>
      <c r="I136" s="698"/>
    </row>
    <row r="137" spans="2:9" hidden="1" x14ac:dyDescent="0.25">
      <c r="B137" s="847"/>
      <c r="C137" s="836"/>
      <c r="D137" s="857"/>
      <c r="F137" s="858"/>
    </row>
    <row r="138" spans="2:9" s="689" customFormat="1" ht="79.900000000000006" hidden="1" customHeight="1" x14ac:dyDescent="0.25">
      <c r="B138" s="847" t="s">
        <v>1513</v>
      </c>
      <c r="C138" s="778"/>
      <c r="D138" s="859" t="str">
        <f>IF(C120="Classroom-based training","20-25","")</f>
        <v/>
      </c>
      <c r="E138" s="860" t="str">
        <f>IF(C120="Classroom-based training",CONCATENATE("For classroom-based training, this number will be used to calculate the number of training sessions required to train all the users.","For example, if the number of users to be trained is 110 and 20 users can be trained in one session, 6 sessions would have to be conducted.","If training is delivered through eLearning and costs for trainers does not apply, enter $0.00; other costs may be included under ‘other training costs per day’."),"")</f>
        <v/>
      </c>
      <c r="F138" s="690"/>
    </row>
    <row r="139" spans="2:9" s="689" customFormat="1" ht="16.149999999999999" hidden="1" customHeight="1" x14ac:dyDescent="0.25">
      <c r="B139" s="847" t="s">
        <v>1514</v>
      </c>
      <c r="C139" s="778"/>
      <c r="D139" s="859"/>
      <c r="E139" s="792"/>
      <c r="F139" s="690"/>
    </row>
    <row r="140" spans="2:9" s="689" customFormat="1" ht="30" hidden="1" x14ac:dyDescent="0.25">
      <c r="B140" s="847" t="s">
        <v>1515</v>
      </c>
      <c r="C140" s="778"/>
      <c r="D140" s="861" t="str">
        <f>IF(C120="Classroom-based training","$170 - 340 USD per day","")</f>
        <v/>
      </c>
      <c r="E140" s="792"/>
      <c r="F140" s="690"/>
    </row>
    <row r="141" spans="2:9" s="689" customFormat="1" ht="29.65" hidden="1" customHeight="1" x14ac:dyDescent="0.25">
      <c r="B141" s="847" t="s">
        <v>1516</v>
      </c>
      <c r="C141" s="862"/>
      <c r="D141" s="859" t="str">
        <f>IF(C120="Classroom-based training","$150 - 200 per person per day","")</f>
        <v/>
      </c>
      <c r="E141" s="792"/>
      <c r="F141" s="690"/>
    </row>
    <row r="142" spans="2:9" s="689" customFormat="1" ht="79.900000000000006" hidden="1" customHeight="1" x14ac:dyDescent="0.25">
      <c r="B142" s="847" t="s">
        <v>1517</v>
      </c>
      <c r="C142" s="863"/>
      <c r="D142" s="857"/>
      <c r="E142" s="864" t="str">
        <f>IF(C120="Classroom-based training",CONCATENATE("May include travel, facility and equipment rentals. Typical requirements: 1 facilitator should be present for every 20 participants assumed. Costs should factor in number of training days, number of attendees, and location of training.","The type of device utilized for the implementation (mobile, tablet or desktop computer) may impact training costs. Training for mobile device systems may incur lower costs if users are familiar with similar mobile applications for other activities."),"")</f>
        <v/>
      </c>
      <c r="F142" s="690"/>
      <c r="I142" s="865"/>
    </row>
    <row r="143" spans="2:9" s="689" customFormat="1" ht="14.65" customHeight="1" x14ac:dyDescent="0.25">
      <c r="B143" s="847"/>
      <c r="D143" s="866"/>
      <c r="E143" s="735"/>
      <c r="F143" s="690"/>
      <c r="I143" s="865"/>
    </row>
    <row r="144" spans="2:9" s="689" customFormat="1" ht="31.9" customHeight="1" x14ac:dyDescent="0.25">
      <c r="B144" s="689" t="s">
        <v>1518</v>
      </c>
      <c r="C144" s="751"/>
      <c r="E144" s="735"/>
      <c r="I144" s="814"/>
    </row>
    <row r="145" spans="2:9" s="689" customFormat="1" outlineLevel="1" x14ac:dyDescent="0.25">
      <c r="C145" s="751"/>
      <c r="E145" s="735"/>
      <c r="I145" s="814"/>
    </row>
    <row r="146" spans="2:9" s="689" customFormat="1" outlineLevel="1" x14ac:dyDescent="0.25">
      <c r="B146" s="1035" t="s">
        <v>1473</v>
      </c>
      <c r="C146" s="1025"/>
      <c r="E146" s="735"/>
      <c r="I146" s="814"/>
    </row>
    <row r="147" spans="2:9" s="689" customFormat="1" outlineLevel="1" x14ac:dyDescent="0.25">
      <c r="B147" s="1019" t="s">
        <v>1712</v>
      </c>
      <c r="C147" s="1025">
        <f>IFERROR(ROUNDUP((C130/$C$138),0),0)</f>
        <v>0</v>
      </c>
      <c r="E147" s="735"/>
      <c r="I147" s="814"/>
    </row>
    <row r="148" spans="2:9" s="689" customFormat="1" outlineLevel="1" x14ac:dyDescent="0.25">
      <c r="B148" s="1019" t="s">
        <v>1717</v>
      </c>
      <c r="C148" s="1025">
        <f>$C$128*(C130*$C$136)</f>
        <v>0</v>
      </c>
      <c r="E148" s="735"/>
      <c r="I148" s="814"/>
    </row>
    <row r="149" spans="2:9" s="689" customFormat="1" ht="30" outlineLevel="1" x14ac:dyDescent="0.25">
      <c r="B149" s="1019" t="s">
        <v>1713</v>
      </c>
      <c r="C149" s="1025">
        <f>($C$139*($C$140+$C$141))*$C$128*C147</f>
        <v>0</v>
      </c>
      <c r="E149" s="735"/>
      <c r="I149" s="814"/>
    </row>
    <row r="150" spans="2:9" s="689" customFormat="1" ht="30" outlineLevel="1" x14ac:dyDescent="0.25">
      <c r="B150" s="1019" t="s">
        <v>1718</v>
      </c>
      <c r="C150" s="1025">
        <f>$C$142*$C$128*C147</f>
        <v>0</v>
      </c>
      <c r="E150" s="735"/>
      <c r="I150" s="814"/>
    </row>
    <row r="151" spans="2:9" s="689" customFormat="1" ht="30" outlineLevel="1" x14ac:dyDescent="0.25">
      <c r="B151" s="1036" t="s">
        <v>1715</v>
      </c>
      <c r="C151" s="1037">
        <f>IF(C120="Classroom-based training",SUM(C148:C150),C148)</f>
        <v>0</v>
      </c>
      <c r="E151" s="735"/>
      <c r="I151" s="814"/>
    </row>
    <row r="152" spans="2:9" s="689" customFormat="1" ht="15.75" outlineLevel="1" thickBot="1" x14ac:dyDescent="0.3">
      <c r="B152" s="1038" t="s">
        <v>1714</v>
      </c>
      <c r="C152" s="1039">
        <f>C151+C122</f>
        <v>0</v>
      </c>
      <c r="E152" s="735"/>
      <c r="I152" s="814"/>
    </row>
    <row r="153" spans="2:9" s="689" customFormat="1" ht="15.75" outlineLevel="1" thickTop="1" x14ac:dyDescent="0.25">
      <c r="B153" s="1019"/>
      <c r="C153" s="1025"/>
      <c r="E153" s="735"/>
      <c r="I153" s="814"/>
    </row>
    <row r="154" spans="2:9" s="689" customFormat="1" outlineLevel="1" x14ac:dyDescent="0.25">
      <c r="B154" s="1035" t="s">
        <v>1474</v>
      </c>
      <c r="C154" s="1025"/>
      <c r="E154" s="735"/>
      <c r="I154" s="814"/>
    </row>
    <row r="155" spans="2:9" s="689" customFormat="1" outlineLevel="1" x14ac:dyDescent="0.25">
      <c r="B155" s="1019" t="s">
        <v>1716</v>
      </c>
      <c r="C155" s="1025">
        <f>IFERROR(ROUNDUP((C131/$C$138),0),0)</f>
        <v>0</v>
      </c>
      <c r="E155" s="735"/>
      <c r="I155" s="814"/>
    </row>
    <row r="156" spans="2:9" s="689" customFormat="1" outlineLevel="1" x14ac:dyDescent="0.25">
      <c r="B156" s="1019" t="s">
        <v>1719</v>
      </c>
      <c r="C156" s="1025">
        <f>$C$128*(C131*$C$136)</f>
        <v>0</v>
      </c>
      <c r="E156" s="735"/>
      <c r="I156" s="814"/>
    </row>
    <row r="157" spans="2:9" s="689" customFormat="1" ht="30" outlineLevel="1" x14ac:dyDescent="0.25">
      <c r="B157" s="1019" t="s">
        <v>1720</v>
      </c>
      <c r="C157" s="1025">
        <f>($C$139*($C$140+$C$141))*$C$128*C155</f>
        <v>0</v>
      </c>
      <c r="E157" s="735"/>
      <c r="I157" s="814"/>
    </row>
    <row r="158" spans="2:9" s="689" customFormat="1" ht="30" outlineLevel="1" x14ac:dyDescent="0.25">
      <c r="B158" s="1019" t="s">
        <v>1721</v>
      </c>
      <c r="C158" s="1025">
        <f>$C$142*$C$128*C155</f>
        <v>0</v>
      </c>
      <c r="E158" s="735"/>
      <c r="I158" s="814"/>
    </row>
    <row r="159" spans="2:9" s="689" customFormat="1" ht="30" outlineLevel="1" x14ac:dyDescent="0.25">
      <c r="B159" s="1036" t="s">
        <v>1722</v>
      </c>
      <c r="C159" s="1037">
        <f>IF(C120="Classroom-based training",SUM(C156:C158),C156)</f>
        <v>0</v>
      </c>
      <c r="E159" s="735"/>
      <c r="I159" s="814"/>
    </row>
    <row r="160" spans="2:9" s="689" customFormat="1" ht="15.75" outlineLevel="1" thickBot="1" x14ac:dyDescent="0.3">
      <c r="B160" s="1038" t="s">
        <v>1724</v>
      </c>
      <c r="C160" s="1039">
        <f>C159+C123</f>
        <v>0</v>
      </c>
      <c r="E160" s="735"/>
      <c r="I160" s="814"/>
    </row>
    <row r="161" spans="2:9" s="689" customFormat="1" ht="15.75" outlineLevel="1" thickTop="1" x14ac:dyDescent="0.25">
      <c r="B161" s="1019"/>
      <c r="C161" s="1025"/>
      <c r="E161" s="735"/>
      <c r="I161" s="814"/>
    </row>
    <row r="162" spans="2:9" s="689" customFormat="1" outlineLevel="1" x14ac:dyDescent="0.25">
      <c r="B162" s="1035" t="s">
        <v>1475</v>
      </c>
      <c r="C162" s="1025"/>
      <c r="E162" s="735"/>
      <c r="I162" s="814"/>
    </row>
    <row r="163" spans="2:9" s="689" customFormat="1" outlineLevel="1" x14ac:dyDescent="0.25">
      <c r="B163" s="1019" t="s">
        <v>1716</v>
      </c>
      <c r="C163" s="1025">
        <f>IFERROR(ROUNDUP((C132/$C$138),0),0)</f>
        <v>0</v>
      </c>
      <c r="E163" s="735"/>
      <c r="I163" s="814"/>
    </row>
    <row r="164" spans="2:9" s="689" customFormat="1" outlineLevel="1" x14ac:dyDescent="0.25">
      <c r="B164" s="1019" t="s">
        <v>1719</v>
      </c>
      <c r="C164" s="1025">
        <f>$C$128*(C132*$C$136)</f>
        <v>0</v>
      </c>
      <c r="E164" s="735"/>
      <c r="I164" s="814"/>
    </row>
    <row r="165" spans="2:9" s="689" customFormat="1" ht="30" outlineLevel="1" x14ac:dyDescent="0.25">
      <c r="B165" s="1019" t="s">
        <v>1720</v>
      </c>
      <c r="C165" s="1025">
        <f>($C$139*($C$140+$C$141))*$C$128*C163</f>
        <v>0</v>
      </c>
      <c r="E165" s="735"/>
      <c r="I165" s="814"/>
    </row>
    <row r="166" spans="2:9" s="689" customFormat="1" ht="30" outlineLevel="1" x14ac:dyDescent="0.25">
      <c r="B166" s="1019" t="s">
        <v>1721</v>
      </c>
      <c r="C166" s="1025">
        <f>$C$142*$C$128*C163</f>
        <v>0</v>
      </c>
      <c r="E166" s="735"/>
      <c r="I166" s="814"/>
    </row>
    <row r="167" spans="2:9" s="689" customFormat="1" ht="30" outlineLevel="1" x14ac:dyDescent="0.25">
      <c r="B167" s="1036" t="s">
        <v>1723</v>
      </c>
      <c r="C167" s="1037">
        <f>IF(C120="Classroom-based training",SUM(C164:C166),C164)</f>
        <v>0</v>
      </c>
      <c r="E167" s="735"/>
      <c r="I167" s="814"/>
    </row>
    <row r="168" spans="2:9" s="689" customFormat="1" ht="15.75" outlineLevel="1" thickBot="1" x14ac:dyDescent="0.3">
      <c r="B168" s="1040" t="s">
        <v>1725</v>
      </c>
      <c r="C168" s="1039">
        <f>C167+C124</f>
        <v>0</v>
      </c>
      <c r="E168" s="735"/>
      <c r="I168" s="814"/>
    </row>
    <row r="169" spans="2:9" s="689" customFormat="1" ht="15.75" outlineLevel="1" thickTop="1" x14ac:dyDescent="0.25">
      <c r="B169" s="1019"/>
      <c r="C169" s="1025"/>
      <c r="E169" s="735"/>
      <c r="I169" s="814"/>
    </row>
    <row r="170" spans="2:9" s="689" customFormat="1" outlineLevel="1" x14ac:dyDescent="0.25">
      <c r="B170" s="1035" t="s">
        <v>1476</v>
      </c>
      <c r="C170" s="1025"/>
      <c r="E170" s="735"/>
      <c r="I170" s="814"/>
    </row>
    <row r="171" spans="2:9" s="689" customFormat="1" outlineLevel="1" x14ac:dyDescent="0.25">
      <c r="B171" s="1019" t="s">
        <v>1716</v>
      </c>
      <c r="C171" s="1025">
        <f>IFERROR(ROUNDUP((C133/$C$138),0),0)</f>
        <v>0</v>
      </c>
      <c r="E171" s="735"/>
      <c r="I171" s="814"/>
    </row>
    <row r="172" spans="2:9" s="689" customFormat="1" outlineLevel="1" x14ac:dyDescent="0.25">
      <c r="B172" s="1019" t="s">
        <v>1719</v>
      </c>
      <c r="C172" s="1025">
        <f>$C$128*(C133*$C$136)</f>
        <v>0</v>
      </c>
      <c r="E172" s="735"/>
      <c r="I172" s="814"/>
    </row>
    <row r="173" spans="2:9" s="689" customFormat="1" ht="30" outlineLevel="1" x14ac:dyDescent="0.25">
      <c r="B173" s="1019" t="s">
        <v>1720</v>
      </c>
      <c r="C173" s="1025">
        <f>($C$139*($C$140+$C$141))*$C$128*C171</f>
        <v>0</v>
      </c>
      <c r="E173" s="735"/>
      <c r="I173" s="814"/>
    </row>
    <row r="174" spans="2:9" s="689" customFormat="1" ht="30" outlineLevel="1" x14ac:dyDescent="0.25">
      <c r="B174" s="1019" t="s">
        <v>1721</v>
      </c>
      <c r="C174" s="1041">
        <f>$C$142*$C$128*C171</f>
        <v>0</v>
      </c>
      <c r="E174" s="735"/>
      <c r="I174" s="814"/>
    </row>
    <row r="175" spans="2:9" s="689" customFormat="1" ht="30" outlineLevel="1" x14ac:dyDescent="0.25">
      <c r="B175" s="1036" t="s">
        <v>1726</v>
      </c>
      <c r="C175" s="1037">
        <f>IF(C120="Classroom-based training",SUM(C172:C174),C172)</f>
        <v>0</v>
      </c>
      <c r="E175" s="735"/>
      <c r="I175" s="814"/>
    </row>
    <row r="176" spans="2:9" s="689" customFormat="1" ht="15.75" outlineLevel="1" thickBot="1" x14ac:dyDescent="0.3">
      <c r="B176" s="1040" t="s">
        <v>1727</v>
      </c>
      <c r="C176" s="1039">
        <f>C175+C125</f>
        <v>0</v>
      </c>
      <c r="E176" s="735"/>
      <c r="I176" s="814"/>
    </row>
    <row r="177" spans="2:9" s="689" customFormat="1" ht="15.75" outlineLevel="1" thickTop="1" x14ac:dyDescent="0.25">
      <c r="B177" s="1019"/>
      <c r="C177" s="1025"/>
      <c r="E177" s="735"/>
      <c r="I177" s="814"/>
    </row>
    <row r="178" spans="2:9" s="689" customFormat="1" outlineLevel="1" x14ac:dyDescent="0.25">
      <c r="B178" s="1035" t="s">
        <v>1477</v>
      </c>
      <c r="C178" s="1025"/>
      <c r="E178" s="735"/>
      <c r="I178" s="814"/>
    </row>
    <row r="179" spans="2:9" s="689" customFormat="1" outlineLevel="1" x14ac:dyDescent="0.25">
      <c r="B179" s="1019" t="s">
        <v>1716</v>
      </c>
      <c r="C179" s="1025">
        <f>IFERROR(ROUNDUP((C134/$C$138),0),0)</f>
        <v>0</v>
      </c>
      <c r="E179" s="735"/>
      <c r="I179" s="814"/>
    </row>
    <row r="180" spans="2:9" s="689" customFormat="1" outlineLevel="1" x14ac:dyDescent="0.25">
      <c r="B180" s="1019" t="s">
        <v>1719</v>
      </c>
      <c r="C180" s="1025">
        <f>$C$128*(C134*$C$136)</f>
        <v>0</v>
      </c>
      <c r="E180" s="735"/>
      <c r="I180" s="814"/>
    </row>
    <row r="181" spans="2:9" s="689" customFormat="1" ht="30" outlineLevel="1" x14ac:dyDescent="0.25">
      <c r="B181" s="1019" t="s">
        <v>1720</v>
      </c>
      <c r="C181" s="1025">
        <f>($C$139*($C$140+$C$141))*$C$128*C179</f>
        <v>0</v>
      </c>
      <c r="E181" s="735"/>
      <c r="I181" s="814"/>
    </row>
    <row r="182" spans="2:9" s="689" customFormat="1" ht="30" outlineLevel="1" x14ac:dyDescent="0.25">
      <c r="B182" s="1019" t="s">
        <v>1721</v>
      </c>
      <c r="C182" s="1041">
        <f>$C$142*$C$128*C179</f>
        <v>0</v>
      </c>
      <c r="E182" s="735"/>
      <c r="I182" s="814"/>
    </row>
    <row r="183" spans="2:9" s="689" customFormat="1" ht="30" outlineLevel="1" x14ac:dyDescent="0.25">
      <c r="B183" s="1036" t="s">
        <v>1728</v>
      </c>
      <c r="C183" s="1037">
        <f>IF(C120="Classroom-based training",SUM(C180:C182),C180)</f>
        <v>0</v>
      </c>
      <c r="E183" s="735"/>
      <c r="I183" s="814"/>
    </row>
    <row r="184" spans="2:9" s="689" customFormat="1" ht="15.75" outlineLevel="1" thickBot="1" x14ac:dyDescent="0.3">
      <c r="B184" s="1040" t="s">
        <v>1729</v>
      </c>
      <c r="C184" s="1039">
        <f>C183+C126</f>
        <v>0</v>
      </c>
      <c r="E184" s="735"/>
      <c r="I184" s="814"/>
    </row>
    <row r="185" spans="2:9" s="689" customFormat="1" ht="15.75" thickTop="1" x14ac:dyDescent="0.25">
      <c r="C185" s="751"/>
      <c r="E185" s="735"/>
      <c r="I185" s="814"/>
    </row>
  </sheetData>
  <sheetProtection formatColumns="0" formatRows="0"/>
  <mergeCells count="16">
    <mergeCell ref="B2:E2"/>
    <mergeCell ref="E76:E80"/>
    <mergeCell ref="E85:E89"/>
    <mergeCell ref="E12:E16"/>
    <mergeCell ref="E20:E24"/>
    <mergeCell ref="E61:E65"/>
    <mergeCell ref="E43:E47"/>
    <mergeCell ref="E36:E40"/>
    <mergeCell ref="E28:E32"/>
    <mergeCell ref="E54:E58"/>
    <mergeCell ref="E70:E74"/>
    <mergeCell ref="E94:E98"/>
    <mergeCell ref="E103:E107"/>
    <mergeCell ref="E109:E113"/>
    <mergeCell ref="E122:E126"/>
    <mergeCell ref="E130:E134"/>
  </mergeCells>
  <conditionalFormatting sqref="B138:B142">
    <cfRule type="expression" dxfId="59" priority="2" stopIfTrue="1">
      <formula>$C$120&lt;&gt;"Classroom-based training"</formula>
    </cfRule>
  </conditionalFormatting>
  <conditionalFormatting sqref="C138:C142">
    <cfRule type="expression" dxfId="58" priority="1">
      <formula>$C$120&lt;&gt;"Classroom-based training"</formula>
    </cfRule>
  </conditionalFormatting>
  <dataValidations count="3">
    <dataValidation allowBlank="1" sqref="C69:C74 C93:C98 C84:C89" xr:uid="{00000000-0002-0000-0600-000000000000}"/>
    <dataValidation type="whole" allowBlank="1" showInputMessage="1" showErrorMessage="1" error="Entry must be a whole number. " sqref="C128" xr:uid="{00000000-0002-0000-0600-000001000000}">
      <formula1>0</formula1>
      <formula2>10000000</formula2>
    </dataValidation>
    <dataValidation type="textLength" allowBlank="1" showInputMessage="1" showErrorMessage="1" error="You can only enter Yes or No in this cell." sqref="C9" xr:uid="{00000000-0002-0000-0600-000002000000}">
      <formula1>2</formula1>
      <formula2>3</formula2>
    </dataValidation>
  </dataValidations>
  <hyperlinks>
    <hyperlink ref="F19" r:id="rId1" xr:uid="{00000000-0004-0000-0600-000000000000}"/>
    <hyperlink ref="F27" r:id="rId2" xr:uid="{00000000-0004-0000-0600-000001000000}"/>
    <hyperlink ref="F35" r:id="rId3" xr:uid="{00000000-0004-0000-0600-000002000000}"/>
    <hyperlink ref="F53" r:id="rId4" xr:uid="{00000000-0004-0000-0600-000003000000}"/>
    <hyperlink ref="F60" r:id="rId5" xr:uid="{00000000-0004-0000-0600-000004000000}"/>
    <hyperlink ref="F69" r:id="rId6" xr:uid="{00000000-0004-0000-0600-000005000000}"/>
    <hyperlink ref="F83" r:id="rId7" xr:uid="{00000000-0004-0000-0600-000006000000}"/>
    <hyperlink ref="F92" r:id="rId8" xr:uid="{00000000-0004-0000-0600-000007000000}"/>
    <hyperlink ref="F101" r:id="rId9" xr:uid="{00000000-0004-0000-0600-000008000000}"/>
    <hyperlink ref="F102" r:id="rId10" xr:uid="{00000000-0004-0000-0600-000009000000}"/>
    <hyperlink ref="F108" r:id="rId11" xr:uid="{00000000-0004-0000-0600-00000A000000}"/>
    <hyperlink ref="F120" r:id="rId12" xr:uid="{00000000-0004-0000-0600-00000B000000}"/>
    <hyperlink ref="B1" location="Menu!D10" tooltip="Menu" display="&lt;&lt; Menu" xr:uid="{00000000-0004-0000-0600-00000C000000}"/>
  </hyperlinks>
  <pageMargins left="0.7" right="0.7" top="0.75" bottom="0.75" header="0.3" footer="0.3"/>
  <pageSetup orientation="portrait" r:id="rId13"/>
  <drawing r:id="rId14"/>
  <extLst>
    <ext xmlns:x14="http://schemas.microsoft.com/office/spreadsheetml/2009/9/main" uri="{CCE6A557-97BC-4b89-ADB6-D9C93CAAB3DF}">
      <x14:dataValidations xmlns:xm="http://schemas.microsoft.com/office/excel/2006/main" count="2">
        <x14:dataValidation type="list" allowBlank="1" showInputMessage="1" showErrorMessage="1" error="You can only enter Yes or No in this cell." xr:uid="{00000000-0002-0000-0600-000003000000}">
          <x14:formula1>
            <xm:f>Sheet2!$A$1:$A$2</xm:f>
          </x14:formula1>
          <xm:sqref>C50 C8</xm:sqref>
        </x14:dataValidation>
        <x14:dataValidation type="list" allowBlank="1" showInputMessage="1" showErrorMessage="1" xr:uid="{00000000-0002-0000-0600-000004000000}">
          <x14:formula1>
            <xm:f>Sheet15!$A$1:$A$3</xm:f>
          </x14:formula1>
          <xm:sqref>C120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249977111117893"/>
  </sheetPr>
  <dimension ref="A1:S296"/>
  <sheetViews>
    <sheetView showGridLines="0" zoomScale="80" zoomScaleNormal="80" workbookViewId="0">
      <pane ySplit="4" topLeftCell="A5" activePane="bottomLeft" state="frozen"/>
      <selection activeCell="B29" sqref="B29"/>
      <selection pane="bottomLeft" activeCell="E182" sqref="E182"/>
    </sheetView>
  </sheetViews>
  <sheetFormatPr defaultColWidth="10.7109375" defaultRowHeight="15" outlineLevelRow="1" outlineLevelCol="1" x14ac:dyDescent="0.25"/>
  <cols>
    <col min="1" max="1" width="2" style="697" customWidth="1"/>
    <col min="2" max="2" width="68.28515625" style="697" customWidth="1"/>
    <col min="3" max="4" width="20" style="765" customWidth="1"/>
    <col min="5" max="5" width="80" style="697" customWidth="1"/>
    <col min="6" max="6" width="42.7109375" style="697" hidden="1" customWidth="1" outlineLevel="1"/>
    <col min="7" max="7" width="10.7109375" style="697" collapsed="1"/>
    <col min="8" max="8" width="10.7109375" style="697"/>
    <col min="9" max="9" width="11.7109375" style="697" bestFit="1" customWidth="1"/>
    <col min="10" max="15" width="10.7109375" style="697"/>
    <col min="16" max="16" width="26.42578125" style="697" bestFit="1" customWidth="1"/>
    <col min="17" max="17" width="10.7109375" style="697"/>
    <col min="18" max="18" width="21.7109375" style="697" bestFit="1" customWidth="1"/>
    <col min="19" max="19" width="10.7109375" style="697"/>
    <col min="20" max="20" width="27.7109375" style="697" customWidth="1"/>
    <col min="21" max="16384" width="10.7109375" style="697"/>
  </cols>
  <sheetData>
    <row r="1" spans="1:19" x14ac:dyDescent="0.25">
      <c r="A1" s="689"/>
      <c r="B1" s="741" t="s">
        <v>1380</v>
      </c>
      <c r="C1" s="751"/>
      <c r="D1" s="751"/>
      <c r="E1" s="689"/>
      <c r="F1" s="689"/>
    </row>
    <row r="2" spans="1:19" ht="31.9" customHeight="1" x14ac:dyDescent="0.25">
      <c r="A2" s="689"/>
      <c r="B2" s="958" t="s">
        <v>1699</v>
      </c>
      <c r="C2" s="959"/>
      <c r="D2" s="959"/>
      <c r="E2" s="960"/>
      <c r="F2" s="752"/>
    </row>
    <row r="4" spans="1:19" ht="31.9" customHeight="1" x14ac:dyDescent="0.25">
      <c r="C4" s="781" t="s">
        <v>1428</v>
      </c>
      <c r="D4" s="756" t="s">
        <v>1439</v>
      </c>
      <c r="E4" s="782" t="s">
        <v>1430</v>
      </c>
      <c r="F4" s="758" t="s">
        <v>935</v>
      </c>
    </row>
    <row r="5" spans="1:19" s="689" customFormat="1" ht="64.150000000000006" customHeight="1" x14ac:dyDescent="0.25">
      <c r="B5" s="759" t="s">
        <v>1696</v>
      </c>
      <c r="C5" s="783"/>
      <c r="D5" s="868"/>
      <c r="E5" s="784" t="s">
        <v>1562</v>
      </c>
      <c r="F5" s="784"/>
      <c r="I5" s="866"/>
    </row>
    <row r="6" spans="1:19" s="689" customFormat="1" x14ac:dyDescent="0.25">
      <c r="C6" s="751"/>
      <c r="D6" s="751"/>
      <c r="H6" s="697"/>
      <c r="I6" s="697"/>
      <c r="J6" s="697"/>
      <c r="K6" s="697"/>
      <c r="L6" s="697"/>
      <c r="M6" s="697"/>
      <c r="N6" s="697"/>
      <c r="O6" s="697"/>
      <c r="P6" s="697"/>
      <c r="Q6" s="697"/>
      <c r="R6" s="697"/>
      <c r="S6" s="697"/>
    </row>
    <row r="7" spans="1:19" x14ac:dyDescent="0.25">
      <c r="B7" s="834" t="s">
        <v>19</v>
      </c>
      <c r="C7" s="787"/>
      <c r="D7" s="802"/>
      <c r="E7" s="805"/>
      <c r="F7" s="839"/>
      <c r="H7" s="869"/>
    </row>
    <row r="8" spans="1:19" s="689" customFormat="1" ht="21" customHeight="1" x14ac:dyDescent="0.25">
      <c r="B8" s="323" t="s">
        <v>1552</v>
      </c>
      <c r="C8" s="870"/>
      <c r="D8" s="871">
        <f>1/6</f>
        <v>0.16666666666666666</v>
      </c>
      <c r="E8" s="952" t="s">
        <v>1561</v>
      </c>
      <c r="F8" s="690" t="s">
        <v>934</v>
      </c>
      <c r="H8" s="697"/>
      <c r="I8" s="697"/>
      <c r="J8" s="697"/>
      <c r="K8" s="697"/>
      <c r="L8" s="697"/>
      <c r="M8" s="697"/>
      <c r="N8" s="697"/>
      <c r="O8" s="697"/>
      <c r="P8" s="697"/>
      <c r="Q8" s="697"/>
      <c r="R8" s="872"/>
      <c r="S8" s="697"/>
    </row>
    <row r="9" spans="1:19" s="689" customFormat="1" ht="21" customHeight="1" x14ac:dyDescent="0.25">
      <c r="B9" s="323" t="s">
        <v>1553</v>
      </c>
      <c r="C9" s="873"/>
      <c r="D9" s="874">
        <f>1/4</f>
        <v>0.25</v>
      </c>
      <c r="E9" s="953"/>
      <c r="F9" s="690"/>
      <c r="H9" s="697"/>
      <c r="I9" s="697"/>
      <c r="J9" s="697"/>
      <c r="K9" s="697"/>
      <c r="L9" s="697"/>
      <c r="M9" s="697"/>
      <c r="N9" s="697"/>
      <c r="O9" s="697"/>
      <c r="P9" s="697"/>
      <c r="Q9" s="697"/>
      <c r="R9" s="872"/>
      <c r="S9" s="697"/>
    </row>
    <row r="10" spans="1:19" s="689" customFormat="1" ht="21" customHeight="1" x14ac:dyDescent="0.25">
      <c r="B10" s="323" t="s">
        <v>1554</v>
      </c>
      <c r="C10" s="873"/>
      <c r="D10" s="874">
        <f>1/4</f>
        <v>0.25</v>
      </c>
      <c r="E10" s="953"/>
      <c r="F10" s="690"/>
      <c r="H10" s="697"/>
      <c r="I10" s="697"/>
      <c r="J10" s="697"/>
      <c r="K10" s="697"/>
      <c r="L10" s="697"/>
      <c r="M10" s="697"/>
      <c r="N10" s="697"/>
      <c r="O10" s="697"/>
      <c r="P10" s="697"/>
      <c r="Q10" s="697"/>
      <c r="R10" s="872"/>
      <c r="S10" s="697"/>
    </row>
    <row r="11" spans="1:19" s="689" customFormat="1" ht="21" customHeight="1" x14ac:dyDescent="0.25">
      <c r="B11" s="323" t="s">
        <v>1555</v>
      </c>
      <c r="C11" s="873"/>
      <c r="D11" s="874">
        <f>1/3</f>
        <v>0.33333333333333331</v>
      </c>
      <c r="E11" s="953"/>
      <c r="F11" s="690"/>
      <c r="H11" s="697"/>
      <c r="I11" s="697"/>
      <c r="J11" s="697"/>
      <c r="K11" s="697"/>
      <c r="L11" s="697"/>
      <c r="M11" s="697"/>
      <c r="N11" s="697"/>
      <c r="O11" s="697"/>
      <c r="P11" s="697"/>
      <c r="Q11" s="697"/>
      <c r="R11" s="872"/>
      <c r="S11" s="697"/>
    </row>
    <row r="12" spans="1:19" s="689" customFormat="1" ht="21" customHeight="1" x14ac:dyDescent="0.25">
      <c r="B12" t="s">
        <v>1556</v>
      </c>
      <c r="C12" s="873"/>
      <c r="D12" s="874">
        <f>1/10</f>
        <v>0.1</v>
      </c>
      <c r="E12" s="957"/>
      <c r="F12" s="690"/>
      <c r="H12" s="697"/>
      <c r="I12" s="697"/>
      <c r="J12" s="697"/>
      <c r="K12" s="697"/>
      <c r="L12" s="697"/>
      <c r="M12" s="697"/>
      <c r="N12" s="697"/>
      <c r="O12" s="697"/>
      <c r="P12" s="697"/>
      <c r="Q12" s="697"/>
      <c r="R12" s="872"/>
      <c r="S12" s="697"/>
    </row>
    <row r="13" spans="1:19" s="689" customFormat="1" ht="16.149999999999999" customHeight="1" x14ac:dyDescent="0.25">
      <c r="B13" s="847"/>
      <c r="C13" s="875"/>
      <c r="D13" s="876"/>
      <c r="E13" s="764"/>
      <c r="F13" s="690"/>
      <c r="H13" s="697"/>
      <c r="I13" s="697"/>
      <c r="J13" s="697"/>
      <c r="K13" s="697"/>
      <c r="L13" s="697"/>
      <c r="M13" s="697"/>
      <c r="N13" s="697"/>
      <c r="O13" s="697"/>
      <c r="P13" s="697"/>
      <c r="Q13" s="697"/>
      <c r="R13" s="872"/>
      <c r="S13" s="697"/>
    </row>
    <row r="14" spans="1:19" s="689" customFormat="1" ht="16.149999999999999" customHeight="1" x14ac:dyDescent="0.25">
      <c r="B14" s="847" t="s">
        <v>1557</v>
      </c>
      <c r="C14" s="796">
        <f>SUM(C15:C19)</f>
        <v>0</v>
      </c>
      <c r="D14" s="877" t="s">
        <v>1438</v>
      </c>
      <c r="E14" s="952" t="s">
        <v>1563</v>
      </c>
      <c r="F14" s="690"/>
      <c r="H14" s="697"/>
      <c r="I14" s="697"/>
      <c r="J14" s="697"/>
      <c r="K14" s="697"/>
      <c r="L14" s="697"/>
      <c r="M14" s="697"/>
      <c r="N14" s="697"/>
      <c r="O14" s="697"/>
      <c r="P14" s="697"/>
      <c r="Q14" s="697"/>
      <c r="R14" s="872"/>
      <c r="S14" s="697"/>
    </row>
    <row r="15" spans="1:19" s="689" customFormat="1" ht="16.149999999999999" hidden="1" customHeight="1" x14ac:dyDescent="0.25">
      <c r="B15" s="753" t="s">
        <v>1359</v>
      </c>
      <c r="C15" s="796">
        <f>$C$8*SUM('Custos de Implantação'!C12)</f>
        <v>0</v>
      </c>
      <c r="D15" s="877" t="s">
        <v>1353</v>
      </c>
      <c r="E15" s="953"/>
      <c r="F15" s="690"/>
      <c r="H15" s="697"/>
      <c r="I15" s="697"/>
      <c r="J15" s="697"/>
      <c r="K15" s="697"/>
      <c r="L15" s="697"/>
      <c r="M15" s="697"/>
      <c r="N15" s="697"/>
      <c r="O15" s="697"/>
      <c r="P15" s="697"/>
      <c r="Q15" s="697"/>
      <c r="R15" s="872"/>
      <c r="S15" s="697"/>
    </row>
    <row r="16" spans="1:19" s="689" customFormat="1" ht="16.149999999999999" hidden="1" customHeight="1" x14ac:dyDescent="0.25">
      <c r="B16" s="753" t="s">
        <v>1360</v>
      </c>
      <c r="C16" s="796">
        <f>$C$8*SUM('Custos de Implantação'!C12:C13)</f>
        <v>0</v>
      </c>
      <c r="D16" s="877" t="s">
        <v>1353</v>
      </c>
      <c r="E16" s="953"/>
      <c r="F16" s="690"/>
      <c r="H16" s="697"/>
      <c r="I16" s="697"/>
      <c r="J16" s="697"/>
      <c r="K16" s="697"/>
      <c r="L16" s="697"/>
      <c r="M16" s="697"/>
      <c r="N16" s="697"/>
      <c r="O16" s="697"/>
      <c r="P16" s="697"/>
      <c r="Q16" s="697"/>
      <c r="R16" s="872"/>
      <c r="S16" s="697"/>
    </row>
    <row r="17" spans="2:19" s="689" customFormat="1" ht="16.149999999999999" hidden="1" customHeight="1" x14ac:dyDescent="0.25">
      <c r="B17" s="753" t="s">
        <v>1361</v>
      </c>
      <c r="C17" s="796">
        <f>$C$8*SUM('Custos de Implantação'!C12:C14)</f>
        <v>0</v>
      </c>
      <c r="D17" s="877" t="s">
        <v>1353</v>
      </c>
      <c r="E17" s="953"/>
      <c r="F17" s="690"/>
      <c r="H17" s="697"/>
      <c r="I17" s="697"/>
      <c r="J17" s="697"/>
      <c r="K17" s="697"/>
      <c r="L17" s="697"/>
      <c r="M17" s="697"/>
      <c r="N17" s="697"/>
      <c r="O17" s="697"/>
      <c r="P17" s="697"/>
      <c r="Q17" s="697"/>
      <c r="R17" s="872"/>
      <c r="S17" s="697"/>
    </row>
    <row r="18" spans="2:19" s="689" customFormat="1" ht="16.149999999999999" hidden="1" customHeight="1" x14ac:dyDescent="0.25">
      <c r="B18" s="753" t="s">
        <v>1362</v>
      </c>
      <c r="C18" s="796">
        <f>$C$8*SUM('Custos de Implantação'!C12:C15)</f>
        <v>0</v>
      </c>
      <c r="D18" s="877" t="s">
        <v>1353</v>
      </c>
      <c r="E18" s="953"/>
      <c r="F18" s="690"/>
      <c r="H18" s="697"/>
      <c r="I18" s="697"/>
      <c r="J18" s="697"/>
      <c r="K18" s="697"/>
      <c r="L18" s="697"/>
      <c r="M18" s="697"/>
      <c r="N18" s="697"/>
      <c r="O18" s="697"/>
      <c r="P18" s="697"/>
      <c r="Q18" s="697"/>
      <c r="R18" s="872"/>
      <c r="S18" s="697"/>
    </row>
    <row r="19" spans="2:19" s="689" customFormat="1" ht="16.149999999999999" hidden="1" customHeight="1" x14ac:dyDescent="0.25">
      <c r="B19" s="753" t="s">
        <v>1363</v>
      </c>
      <c r="C19" s="796">
        <f>$C$8*SUM('Custos de Implantação'!C12:C16)</f>
        <v>0</v>
      </c>
      <c r="D19" s="878" t="s">
        <v>1353</v>
      </c>
      <c r="E19" s="953"/>
      <c r="F19" s="690"/>
      <c r="H19" s="697"/>
      <c r="I19" s="697"/>
      <c r="J19" s="697"/>
      <c r="K19" s="697"/>
      <c r="L19" s="697"/>
      <c r="M19" s="697"/>
      <c r="N19" s="697"/>
      <c r="O19" s="697"/>
      <c r="P19" s="697"/>
      <c r="Q19" s="697"/>
      <c r="R19" s="697"/>
      <c r="S19" s="697"/>
    </row>
    <row r="20" spans="2:19" s="689" customFormat="1" ht="16.149999999999999" hidden="1" customHeight="1" x14ac:dyDescent="0.25">
      <c r="B20" s="753"/>
      <c r="C20" s="879"/>
      <c r="D20" s="877"/>
      <c r="E20" s="953"/>
      <c r="F20" s="690"/>
      <c r="H20" s="697"/>
      <c r="I20" s="697"/>
      <c r="J20" s="697"/>
      <c r="K20" s="697"/>
      <c r="L20" s="697"/>
      <c r="M20" s="697"/>
      <c r="N20" s="697"/>
      <c r="O20" s="697"/>
      <c r="P20" s="697"/>
      <c r="Q20" s="697"/>
      <c r="R20" s="697"/>
      <c r="S20" s="697"/>
    </row>
    <row r="21" spans="2:19" s="689" customFormat="1" ht="16.149999999999999" customHeight="1" x14ac:dyDescent="0.25">
      <c r="B21" s="847" t="s">
        <v>1558</v>
      </c>
      <c r="C21" s="796">
        <f>SUM(C22:C26)</f>
        <v>0</v>
      </c>
      <c r="D21" s="877" t="s">
        <v>1438</v>
      </c>
      <c r="E21" s="953"/>
      <c r="F21" s="690"/>
      <c r="H21" s="697"/>
      <c r="I21" s="697"/>
      <c r="J21" s="697"/>
      <c r="K21" s="697"/>
      <c r="L21" s="697"/>
      <c r="M21" s="697"/>
      <c r="N21" s="697"/>
      <c r="O21" s="697"/>
      <c r="P21" s="697"/>
      <c r="Q21" s="697"/>
      <c r="R21" s="697"/>
      <c r="S21" s="697"/>
    </row>
    <row r="22" spans="2:19" s="689" customFormat="1" ht="16.149999999999999" hidden="1" customHeight="1" x14ac:dyDescent="0.25">
      <c r="B22" s="753" t="s">
        <v>1359</v>
      </c>
      <c r="C22" s="879">
        <f>$C$9*SUM('Custos de Implantação'!C20)</f>
        <v>0</v>
      </c>
      <c r="D22" s="877" t="s">
        <v>1353</v>
      </c>
      <c r="E22" s="953"/>
      <c r="F22" s="690"/>
      <c r="H22" s="697"/>
      <c r="I22" s="697"/>
      <c r="J22" s="697"/>
      <c r="K22" s="697"/>
      <c r="L22" s="697"/>
      <c r="M22" s="697"/>
      <c r="N22" s="697"/>
      <c r="O22" s="697"/>
      <c r="P22" s="697"/>
      <c r="Q22" s="697"/>
      <c r="R22" s="697"/>
      <c r="S22" s="697"/>
    </row>
    <row r="23" spans="2:19" s="689" customFormat="1" ht="16.149999999999999" hidden="1" customHeight="1" x14ac:dyDescent="0.25">
      <c r="B23" s="753" t="s">
        <v>1360</v>
      </c>
      <c r="C23" s="879">
        <f>$C$9*SUM('Custos de Implantação'!C20:C21)</f>
        <v>0</v>
      </c>
      <c r="D23" s="877" t="s">
        <v>1353</v>
      </c>
      <c r="E23" s="953"/>
      <c r="F23" s="690"/>
      <c r="H23" s="697"/>
      <c r="I23" s="697"/>
      <c r="J23" s="697"/>
      <c r="K23" s="697"/>
      <c r="L23" s="697"/>
      <c r="M23" s="697"/>
      <c r="N23" s="697"/>
      <c r="O23" s="697"/>
      <c r="P23" s="697"/>
      <c r="Q23" s="697"/>
      <c r="R23" s="697"/>
      <c r="S23" s="697"/>
    </row>
    <row r="24" spans="2:19" s="689" customFormat="1" ht="16.149999999999999" hidden="1" customHeight="1" x14ac:dyDescent="0.25">
      <c r="B24" s="753" t="s">
        <v>1361</v>
      </c>
      <c r="C24" s="879">
        <f>$C$9*SUM('Custos de Implantação'!C20:C22)</f>
        <v>0</v>
      </c>
      <c r="D24" s="877" t="s">
        <v>1353</v>
      </c>
      <c r="E24" s="953"/>
      <c r="F24" s="690"/>
      <c r="H24" s="697"/>
      <c r="I24" s="697"/>
      <c r="J24" s="697"/>
      <c r="K24" s="697"/>
      <c r="L24" s="697"/>
      <c r="M24" s="697"/>
      <c r="N24" s="697"/>
      <c r="O24" s="697"/>
      <c r="P24" s="697"/>
      <c r="Q24" s="697"/>
      <c r="R24" s="697"/>
      <c r="S24" s="697"/>
    </row>
    <row r="25" spans="2:19" s="689" customFormat="1" ht="16.149999999999999" hidden="1" customHeight="1" x14ac:dyDescent="0.25">
      <c r="B25" s="753" t="s">
        <v>1362</v>
      </c>
      <c r="C25" s="879">
        <f>$C$9*SUM('Custos de Implantação'!C20:C23)</f>
        <v>0</v>
      </c>
      <c r="D25" s="877" t="s">
        <v>1353</v>
      </c>
      <c r="E25" s="953"/>
      <c r="F25" s="690"/>
      <c r="H25" s="697"/>
      <c r="I25" s="697"/>
      <c r="J25" s="697"/>
      <c r="K25" s="697"/>
      <c r="L25" s="697"/>
      <c r="M25" s="697"/>
      <c r="N25" s="697"/>
      <c r="O25" s="697"/>
      <c r="P25" s="697"/>
      <c r="Q25" s="697"/>
      <c r="R25" s="697"/>
      <c r="S25" s="697"/>
    </row>
    <row r="26" spans="2:19" s="689" customFormat="1" ht="16.149999999999999" hidden="1" customHeight="1" x14ac:dyDescent="0.25">
      <c r="B26" s="753" t="s">
        <v>1363</v>
      </c>
      <c r="C26" s="879">
        <f>$C$9*SUM('Custos de Implantação'!C20:C24)</f>
        <v>0</v>
      </c>
      <c r="D26" s="878" t="s">
        <v>1353</v>
      </c>
      <c r="E26" s="953"/>
      <c r="F26" s="690"/>
      <c r="H26" s="697"/>
      <c r="I26" s="697"/>
      <c r="J26" s="697"/>
      <c r="K26" s="697"/>
      <c r="L26" s="697"/>
      <c r="M26" s="697"/>
      <c r="N26" s="697"/>
      <c r="O26" s="697"/>
      <c r="P26" s="697"/>
      <c r="Q26" s="697"/>
      <c r="R26" s="697"/>
      <c r="S26" s="697"/>
    </row>
    <row r="27" spans="2:19" s="689" customFormat="1" ht="16.149999999999999" hidden="1" customHeight="1" x14ac:dyDescent="0.25">
      <c r="B27" s="753"/>
      <c r="C27" s="879"/>
      <c r="D27" s="880"/>
      <c r="E27" s="953"/>
      <c r="F27" s="690"/>
      <c r="H27" s="697"/>
      <c r="I27" s="697"/>
      <c r="J27" s="697"/>
      <c r="K27" s="697"/>
      <c r="L27" s="697"/>
      <c r="M27" s="697"/>
      <c r="N27" s="697"/>
      <c r="O27" s="697"/>
      <c r="P27" s="697"/>
      <c r="Q27" s="697"/>
      <c r="R27" s="697"/>
      <c r="S27" s="697"/>
    </row>
    <row r="28" spans="2:19" s="689" customFormat="1" ht="16.149999999999999" customHeight="1" x14ac:dyDescent="0.25">
      <c r="B28" s="847" t="s">
        <v>1559</v>
      </c>
      <c r="C28" s="796">
        <f>SUM(C29:C33)</f>
        <v>0</v>
      </c>
      <c r="D28" s="877" t="s">
        <v>1438</v>
      </c>
      <c r="E28" s="953"/>
      <c r="F28" s="690"/>
      <c r="H28" s="697"/>
      <c r="I28" s="697"/>
      <c r="J28" s="697"/>
      <c r="K28" s="697"/>
      <c r="L28" s="697"/>
      <c r="M28" s="697"/>
      <c r="N28" s="697"/>
      <c r="O28" s="697"/>
      <c r="P28" s="697"/>
      <c r="Q28" s="697"/>
      <c r="R28" s="697"/>
      <c r="S28" s="697"/>
    </row>
    <row r="29" spans="2:19" s="689" customFormat="1" ht="16.149999999999999" hidden="1" customHeight="1" x14ac:dyDescent="0.25">
      <c r="B29" s="881" t="s">
        <v>1359</v>
      </c>
      <c r="C29" s="879">
        <f>$C$10*SUM('Custos de Implantação'!C28)</f>
        <v>0</v>
      </c>
      <c r="D29" s="877" t="s">
        <v>1353</v>
      </c>
      <c r="E29" s="953"/>
      <c r="F29" s="690"/>
      <c r="H29" s="697"/>
      <c r="I29" s="697"/>
      <c r="J29" s="697"/>
      <c r="K29" s="697"/>
      <c r="L29" s="697"/>
      <c r="M29" s="697"/>
      <c r="N29" s="697"/>
      <c r="O29" s="697"/>
      <c r="P29" s="697"/>
      <c r="Q29" s="697"/>
      <c r="R29" s="697"/>
      <c r="S29" s="697"/>
    </row>
    <row r="30" spans="2:19" s="689" customFormat="1" ht="16.149999999999999" hidden="1" customHeight="1" x14ac:dyDescent="0.25">
      <c r="B30" s="881" t="s">
        <v>1360</v>
      </c>
      <c r="C30" s="879">
        <f>$C$10*SUM('Custos de Implantação'!C28:C29)</f>
        <v>0</v>
      </c>
      <c r="D30" s="877" t="s">
        <v>1353</v>
      </c>
      <c r="E30" s="953"/>
      <c r="F30" s="690"/>
      <c r="H30" s="697"/>
      <c r="I30" s="697"/>
      <c r="J30" s="697"/>
      <c r="K30" s="697"/>
      <c r="L30" s="697"/>
      <c r="M30" s="697"/>
      <c r="N30" s="697"/>
      <c r="O30" s="697"/>
      <c r="P30" s="697"/>
      <c r="Q30" s="697"/>
      <c r="R30" s="697"/>
      <c r="S30" s="697"/>
    </row>
    <row r="31" spans="2:19" s="689" customFormat="1" ht="16.149999999999999" hidden="1" customHeight="1" x14ac:dyDescent="0.25">
      <c r="B31" s="881" t="s">
        <v>1361</v>
      </c>
      <c r="C31" s="879">
        <f>$C$10*SUM('Custos de Implantação'!C28:C30)</f>
        <v>0</v>
      </c>
      <c r="D31" s="877" t="s">
        <v>1353</v>
      </c>
      <c r="E31" s="953"/>
      <c r="F31" s="690"/>
      <c r="H31" s="697"/>
      <c r="I31" s="697"/>
      <c r="J31" s="697"/>
      <c r="K31" s="697"/>
      <c r="L31" s="697"/>
      <c r="M31" s="697"/>
      <c r="N31" s="697"/>
      <c r="O31" s="697"/>
      <c r="P31" s="697"/>
      <c r="Q31" s="697"/>
      <c r="R31" s="697"/>
      <c r="S31" s="697"/>
    </row>
    <row r="32" spans="2:19" s="689" customFormat="1" ht="16.149999999999999" hidden="1" customHeight="1" x14ac:dyDescent="0.25">
      <c r="B32" s="881" t="s">
        <v>1362</v>
      </c>
      <c r="C32" s="879">
        <f>$C$10*SUM('Custos de Implantação'!C28:C31)</f>
        <v>0</v>
      </c>
      <c r="D32" s="877" t="s">
        <v>1353</v>
      </c>
      <c r="E32" s="953"/>
      <c r="F32" s="690"/>
      <c r="H32" s="697"/>
      <c r="I32" s="697"/>
      <c r="J32" s="697"/>
      <c r="K32" s="697"/>
      <c r="L32" s="697"/>
      <c r="M32" s="697"/>
      <c r="N32" s="697"/>
      <c r="O32" s="697"/>
      <c r="P32" s="697"/>
      <c r="Q32" s="697"/>
      <c r="R32" s="697"/>
      <c r="S32" s="697"/>
    </row>
    <row r="33" spans="2:19" s="689" customFormat="1" ht="16.149999999999999" hidden="1" customHeight="1" x14ac:dyDescent="0.25">
      <c r="B33" s="881" t="s">
        <v>1363</v>
      </c>
      <c r="C33" s="879">
        <f>$C$10*SUM('Custos de Implantação'!C28:C32)</f>
        <v>0</v>
      </c>
      <c r="D33" s="878" t="s">
        <v>1353</v>
      </c>
      <c r="E33" s="953"/>
      <c r="F33" s="690"/>
      <c r="H33" s="697"/>
      <c r="I33" s="697"/>
      <c r="J33" s="697"/>
      <c r="K33" s="697"/>
      <c r="L33" s="697"/>
      <c r="M33" s="697"/>
      <c r="N33" s="697"/>
      <c r="O33" s="697"/>
      <c r="P33" s="697"/>
      <c r="Q33" s="697"/>
      <c r="R33" s="697"/>
      <c r="S33" s="697"/>
    </row>
    <row r="34" spans="2:19" s="689" customFormat="1" ht="16.149999999999999" hidden="1" customHeight="1" x14ac:dyDescent="0.25">
      <c r="B34" s="753"/>
      <c r="C34" s="879"/>
      <c r="D34" s="880"/>
      <c r="E34" s="953"/>
      <c r="F34" s="690"/>
      <c r="H34" s="697"/>
      <c r="I34" s="697"/>
      <c r="J34" s="697"/>
      <c r="K34" s="697"/>
      <c r="L34" s="697"/>
      <c r="M34" s="697"/>
      <c r="N34" s="697"/>
      <c r="O34" s="697"/>
      <c r="P34" s="697"/>
      <c r="Q34" s="697"/>
      <c r="R34" s="697"/>
      <c r="S34" s="697"/>
    </row>
    <row r="35" spans="2:19" s="689" customFormat="1" ht="16.149999999999999" customHeight="1" x14ac:dyDescent="0.25">
      <c r="B35" s="847" t="s">
        <v>1560</v>
      </c>
      <c r="C35" s="796">
        <f>SUM(C36:C40)</f>
        <v>0</v>
      </c>
      <c r="D35" s="877" t="s">
        <v>1438</v>
      </c>
      <c r="E35" s="957"/>
      <c r="F35" s="690"/>
      <c r="H35" s="697"/>
      <c r="I35" s="697"/>
      <c r="J35" s="697"/>
      <c r="K35" s="697"/>
      <c r="L35" s="697"/>
      <c r="M35" s="697"/>
      <c r="N35" s="697"/>
      <c r="O35" s="697"/>
      <c r="P35" s="697"/>
      <c r="Q35" s="697"/>
      <c r="R35" s="697"/>
      <c r="S35" s="697"/>
    </row>
    <row r="36" spans="2:19" s="689" customFormat="1" ht="16.149999999999999" hidden="1" customHeight="1" x14ac:dyDescent="0.25">
      <c r="B36" s="881" t="s">
        <v>1359</v>
      </c>
      <c r="C36" s="879">
        <f>$C$11*SUM('Custos de Implantação'!C36)</f>
        <v>0</v>
      </c>
      <c r="D36" s="877" t="s">
        <v>1353</v>
      </c>
      <c r="E36" s="882"/>
      <c r="F36" s="690"/>
      <c r="H36" s="697"/>
      <c r="I36" s="697"/>
      <c r="J36" s="697"/>
      <c r="K36" s="697"/>
      <c r="L36" s="697"/>
      <c r="M36" s="697"/>
      <c r="N36" s="697"/>
      <c r="O36" s="697"/>
      <c r="P36" s="697"/>
      <c r="Q36" s="697"/>
      <c r="R36" s="697"/>
      <c r="S36" s="697"/>
    </row>
    <row r="37" spans="2:19" s="689" customFormat="1" ht="16.149999999999999" hidden="1" customHeight="1" x14ac:dyDescent="0.25">
      <c r="B37" s="881" t="s">
        <v>1360</v>
      </c>
      <c r="C37" s="879">
        <f>$C$11*SUM('Custos de Implantação'!C36:C37)</f>
        <v>0</v>
      </c>
      <c r="D37" s="877" t="s">
        <v>1353</v>
      </c>
      <c r="E37" s="882"/>
      <c r="F37" s="690"/>
      <c r="H37" s="697"/>
      <c r="I37" s="697"/>
      <c r="J37" s="697"/>
      <c r="K37" s="697"/>
      <c r="L37" s="697"/>
      <c r="M37" s="697"/>
      <c r="N37" s="697"/>
      <c r="O37" s="697"/>
      <c r="P37" s="697"/>
      <c r="Q37" s="697"/>
      <c r="R37" s="697"/>
      <c r="S37" s="697"/>
    </row>
    <row r="38" spans="2:19" s="689" customFormat="1" ht="16.149999999999999" hidden="1" customHeight="1" x14ac:dyDescent="0.25">
      <c r="B38" s="881" t="s">
        <v>1361</v>
      </c>
      <c r="C38" s="879">
        <f>$C$11*SUM('Custos de Implantação'!C36:C38)</f>
        <v>0</v>
      </c>
      <c r="D38" s="877" t="s">
        <v>1353</v>
      </c>
      <c r="E38" s="882"/>
      <c r="F38" s="690"/>
      <c r="H38" s="697"/>
      <c r="I38" s="697"/>
      <c r="J38" s="697"/>
      <c r="K38" s="697"/>
      <c r="L38" s="697"/>
      <c r="M38" s="697"/>
      <c r="N38" s="697"/>
      <c r="O38" s="697"/>
      <c r="P38" s="697"/>
      <c r="Q38" s="697"/>
      <c r="R38" s="697"/>
      <c r="S38" s="697"/>
    </row>
    <row r="39" spans="2:19" s="689" customFormat="1" ht="16.149999999999999" hidden="1" customHeight="1" x14ac:dyDescent="0.25">
      <c r="B39" s="881" t="s">
        <v>1362</v>
      </c>
      <c r="C39" s="879">
        <f>$C$11*SUM('Custos de Implantação'!C36:C39)</f>
        <v>0</v>
      </c>
      <c r="D39" s="877" t="s">
        <v>1353</v>
      </c>
      <c r="E39" s="882"/>
      <c r="F39" s="690"/>
      <c r="H39" s="697"/>
      <c r="I39" s="697"/>
      <c r="J39" s="697"/>
      <c r="K39" s="697"/>
      <c r="L39" s="697"/>
      <c r="M39" s="697"/>
      <c r="N39" s="697"/>
      <c r="O39" s="697"/>
      <c r="P39" s="697"/>
      <c r="Q39" s="697"/>
      <c r="R39" s="697"/>
      <c r="S39" s="697"/>
    </row>
    <row r="40" spans="2:19" s="689" customFormat="1" ht="16.149999999999999" hidden="1" customHeight="1" x14ac:dyDescent="0.25">
      <c r="B40" s="881" t="s">
        <v>1363</v>
      </c>
      <c r="C40" s="879">
        <f>$C$11*SUM('Custos de Implantação'!C36:C40)</f>
        <v>0</v>
      </c>
      <c r="D40" s="878" t="s">
        <v>1353</v>
      </c>
      <c r="E40" s="882"/>
      <c r="F40" s="690"/>
      <c r="H40" s="697"/>
      <c r="I40" s="697"/>
      <c r="J40" s="697"/>
      <c r="K40" s="697"/>
      <c r="L40" s="697"/>
      <c r="M40" s="697"/>
      <c r="N40" s="697"/>
      <c r="O40" s="697"/>
      <c r="P40" s="697"/>
      <c r="Q40" s="697"/>
      <c r="R40" s="697"/>
      <c r="S40" s="697"/>
    </row>
    <row r="41" spans="2:19" s="689" customFormat="1" ht="16.149999999999999" hidden="1" customHeight="1" x14ac:dyDescent="0.25">
      <c r="B41" s="753"/>
      <c r="C41" s="879"/>
      <c r="D41" s="878" t="s">
        <v>1353</v>
      </c>
      <c r="E41" s="882"/>
      <c r="F41" s="690"/>
      <c r="H41" s="697"/>
      <c r="I41" s="697"/>
      <c r="J41" s="697"/>
      <c r="K41" s="697"/>
      <c r="L41" s="697"/>
      <c r="M41" s="697"/>
      <c r="N41" s="697"/>
      <c r="O41" s="697"/>
      <c r="P41" s="697"/>
      <c r="Q41" s="697"/>
      <c r="R41" s="697"/>
      <c r="S41" s="697"/>
    </row>
    <row r="42" spans="2:19" s="689" customFormat="1" ht="16.149999999999999" hidden="1" customHeight="1" x14ac:dyDescent="0.25">
      <c r="B42" s="847"/>
      <c r="C42" s="844"/>
      <c r="D42" s="883"/>
      <c r="E42" s="882"/>
      <c r="F42" s="690"/>
      <c r="H42" s="697"/>
      <c r="I42" s="697"/>
      <c r="J42" s="697"/>
      <c r="K42" s="697"/>
      <c r="L42" s="697"/>
      <c r="M42" s="697"/>
      <c r="N42" s="697"/>
      <c r="O42" s="697"/>
      <c r="P42" s="697"/>
      <c r="Q42" s="697"/>
      <c r="R42" s="697"/>
      <c r="S42" s="697"/>
    </row>
    <row r="43" spans="2:19" s="689" customFormat="1" ht="30" hidden="1" x14ac:dyDescent="0.25">
      <c r="B43" s="753" t="s">
        <v>1184</v>
      </c>
      <c r="C43" s="884"/>
      <c r="D43" s="885"/>
      <c r="F43" s="690" t="s">
        <v>938</v>
      </c>
      <c r="H43" s="697"/>
      <c r="I43" s="697"/>
      <c r="J43" s="697"/>
      <c r="K43" s="697"/>
      <c r="L43" s="697"/>
      <c r="M43" s="697"/>
      <c r="N43" s="697"/>
      <c r="O43" s="697"/>
      <c r="P43" s="697"/>
      <c r="Q43" s="697"/>
      <c r="R43" s="697"/>
      <c r="S43" s="697"/>
    </row>
    <row r="44" spans="2:19" s="689" customFormat="1" ht="16.149999999999999" hidden="1" customHeight="1" x14ac:dyDescent="0.25">
      <c r="B44" s="753" t="s">
        <v>1359</v>
      </c>
      <c r="C44" s="817">
        <f>$C$8*'Custos de Implantação'!$C$10*SUM('Custos de Implantação'!C12)</f>
        <v>0</v>
      </c>
      <c r="D44" s="886"/>
      <c r="E44" s="952" t="s">
        <v>1369</v>
      </c>
      <c r="F44" s="690"/>
      <c r="H44" s="697"/>
      <c r="I44" s="697"/>
      <c r="J44" s="697"/>
      <c r="K44" s="697"/>
      <c r="L44" s="697"/>
      <c r="M44" s="697"/>
      <c r="N44" s="697"/>
      <c r="O44" s="697"/>
      <c r="P44" s="697"/>
      <c r="Q44" s="697"/>
      <c r="R44" s="697"/>
      <c r="S44" s="697"/>
    </row>
    <row r="45" spans="2:19" s="689" customFormat="1" ht="16.149999999999999" hidden="1" customHeight="1" x14ac:dyDescent="0.25">
      <c r="B45" s="753" t="s">
        <v>1360</v>
      </c>
      <c r="C45" s="817">
        <f>$C$8*'Custos de Implantação'!$C$10*SUM('Custos de Implantação'!C12:C13)</f>
        <v>0</v>
      </c>
      <c r="D45" s="886"/>
      <c r="E45" s="953"/>
      <c r="F45" s="690"/>
      <c r="H45" s="697"/>
      <c r="I45" s="697"/>
      <c r="J45" s="697"/>
      <c r="K45" s="697"/>
      <c r="L45" s="697"/>
      <c r="M45" s="697"/>
      <c r="N45" s="697"/>
      <c r="O45" s="697"/>
      <c r="P45" s="697"/>
      <c r="Q45" s="697"/>
      <c r="R45" s="697"/>
      <c r="S45" s="697"/>
    </row>
    <row r="46" spans="2:19" s="689" customFormat="1" hidden="1" x14ac:dyDescent="0.25">
      <c r="B46" s="753" t="s">
        <v>1361</v>
      </c>
      <c r="C46" s="817">
        <f>$C$8*'Custos de Implantação'!$C$10*SUM('Custos de Implantação'!C12:C14)</f>
        <v>0</v>
      </c>
      <c r="D46" s="886"/>
      <c r="E46" s="953"/>
      <c r="F46" s="690"/>
      <c r="H46" s="697"/>
      <c r="I46" s="697"/>
      <c r="J46" s="697"/>
      <c r="K46" s="697"/>
      <c r="L46" s="697"/>
      <c r="M46" s="697"/>
      <c r="N46" s="697"/>
      <c r="O46" s="697"/>
      <c r="P46" s="697"/>
      <c r="Q46" s="697"/>
      <c r="R46" s="697"/>
      <c r="S46" s="697"/>
    </row>
    <row r="47" spans="2:19" s="689" customFormat="1" hidden="1" x14ac:dyDescent="0.25">
      <c r="B47" s="753" t="s">
        <v>1362</v>
      </c>
      <c r="C47" s="817">
        <f>$C$8*'Custos de Implantação'!$C$10*SUM('Custos de Implantação'!C12:C15)</f>
        <v>0</v>
      </c>
      <c r="D47" s="886"/>
      <c r="E47" s="953"/>
      <c r="F47" s="690"/>
      <c r="H47" s="697"/>
      <c r="I47" s="697"/>
      <c r="J47" s="697"/>
      <c r="K47" s="697"/>
      <c r="L47" s="697"/>
      <c r="M47" s="697"/>
      <c r="N47" s="697"/>
      <c r="O47" s="697"/>
      <c r="P47" s="697"/>
      <c r="Q47" s="697"/>
      <c r="R47" s="697"/>
      <c r="S47" s="697"/>
    </row>
    <row r="48" spans="2:19" s="689" customFormat="1" hidden="1" x14ac:dyDescent="0.25">
      <c r="B48" s="753" t="s">
        <v>1363</v>
      </c>
      <c r="C48" s="817">
        <f>$C$8*'Custos de Implantação'!$C$10*SUM('Custos de Implantação'!C12:C16)</f>
        <v>0</v>
      </c>
      <c r="D48" s="886"/>
      <c r="E48" s="957"/>
      <c r="F48" s="690"/>
      <c r="H48" s="697"/>
      <c r="I48" s="697"/>
      <c r="J48" s="697"/>
      <c r="K48" s="697"/>
      <c r="L48" s="697"/>
      <c r="M48" s="697"/>
      <c r="N48" s="697"/>
      <c r="O48" s="697"/>
      <c r="P48" s="697"/>
      <c r="Q48" s="697"/>
      <c r="R48" s="697"/>
      <c r="S48" s="697"/>
    </row>
    <row r="49" spans="2:19" s="689" customFormat="1" hidden="1" x14ac:dyDescent="0.25">
      <c r="B49" s="753"/>
      <c r="C49" s="817"/>
      <c r="D49" s="797"/>
      <c r="E49" s="882"/>
      <c r="F49" s="690"/>
      <c r="H49" s="697"/>
      <c r="I49" s="697"/>
      <c r="J49" s="697"/>
      <c r="K49" s="697"/>
      <c r="L49" s="697"/>
      <c r="M49" s="697"/>
      <c r="N49" s="697"/>
      <c r="O49" s="697"/>
      <c r="P49" s="697"/>
      <c r="Q49" s="697"/>
      <c r="R49" s="697"/>
      <c r="S49" s="697"/>
    </row>
    <row r="50" spans="2:19" s="689" customFormat="1" hidden="1" x14ac:dyDescent="0.25">
      <c r="B50" s="753" t="s">
        <v>1185</v>
      </c>
      <c r="C50" s="817"/>
      <c r="D50" s="797"/>
      <c r="F50" s="770"/>
      <c r="H50" s="697"/>
      <c r="I50" s="697"/>
      <c r="J50" s="697"/>
      <c r="K50" s="697"/>
      <c r="L50" s="697"/>
      <c r="M50" s="697"/>
      <c r="N50" s="697"/>
      <c r="O50" s="697"/>
      <c r="P50" s="697"/>
      <c r="Q50" s="697"/>
      <c r="R50" s="697"/>
      <c r="S50" s="697"/>
    </row>
    <row r="51" spans="2:19" s="689" customFormat="1" ht="16.149999999999999" hidden="1" customHeight="1" x14ac:dyDescent="0.25">
      <c r="B51" s="753" t="s">
        <v>1359</v>
      </c>
      <c r="C51" s="817">
        <f>$C$9*'Custos de Implantação'!$C$18*SUM('Custos de Implantação'!C20)</f>
        <v>0</v>
      </c>
      <c r="D51" s="886"/>
      <c r="E51" s="952" t="s">
        <v>1368</v>
      </c>
      <c r="F51" s="770"/>
      <c r="H51" s="697"/>
      <c r="I51" s="697"/>
      <c r="J51" s="697"/>
      <c r="K51" s="697"/>
      <c r="L51" s="697"/>
      <c r="M51" s="697"/>
      <c r="N51" s="697"/>
      <c r="O51" s="697"/>
      <c r="P51" s="697"/>
      <c r="Q51" s="697"/>
      <c r="R51" s="697"/>
      <c r="S51" s="697"/>
    </row>
    <row r="52" spans="2:19" s="689" customFormat="1" hidden="1" x14ac:dyDescent="0.25">
      <c r="B52" s="753" t="s">
        <v>1360</v>
      </c>
      <c r="C52" s="817">
        <f>$C$9*'Custos de Implantação'!$C$18*SUM('Custos de Implantação'!C20:C21)</f>
        <v>0</v>
      </c>
      <c r="D52" s="886"/>
      <c r="E52" s="953"/>
      <c r="F52" s="770"/>
      <c r="H52" s="697"/>
      <c r="I52" s="697"/>
      <c r="J52" s="697"/>
      <c r="K52" s="697"/>
      <c r="L52" s="697"/>
      <c r="M52" s="697"/>
      <c r="N52" s="697"/>
      <c r="O52" s="697"/>
      <c r="P52" s="697"/>
      <c r="Q52" s="697"/>
      <c r="R52" s="697"/>
      <c r="S52" s="697"/>
    </row>
    <row r="53" spans="2:19" s="689" customFormat="1" hidden="1" x14ac:dyDescent="0.25">
      <c r="B53" s="753" t="s">
        <v>1361</v>
      </c>
      <c r="C53" s="817">
        <f>$C$9*'Custos de Implantação'!$C$18*SUM('Custos de Implantação'!C20:C22)</f>
        <v>0</v>
      </c>
      <c r="D53" s="886"/>
      <c r="E53" s="953"/>
      <c r="F53" s="770"/>
      <c r="H53" s="697"/>
      <c r="I53" s="697"/>
      <c r="J53" s="697"/>
      <c r="K53" s="697"/>
      <c r="L53" s="697"/>
      <c r="M53" s="697"/>
      <c r="N53" s="697"/>
      <c r="O53" s="697"/>
      <c r="P53" s="697"/>
      <c r="Q53" s="697"/>
      <c r="R53" s="697"/>
      <c r="S53" s="697"/>
    </row>
    <row r="54" spans="2:19" s="689" customFormat="1" hidden="1" x14ac:dyDescent="0.25">
      <c r="B54" s="753" t="s">
        <v>1362</v>
      </c>
      <c r="C54" s="817">
        <f>$C$9*'Custos de Implantação'!$C$18*SUM('Custos de Implantação'!C20:C23)</f>
        <v>0</v>
      </c>
      <c r="D54" s="886"/>
      <c r="E54" s="953"/>
      <c r="F54" s="770"/>
      <c r="H54" s="697"/>
      <c r="I54" s="697"/>
      <c r="J54" s="697"/>
      <c r="K54" s="697"/>
      <c r="L54" s="697"/>
      <c r="M54" s="697"/>
      <c r="N54" s="697"/>
      <c r="O54" s="697"/>
      <c r="P54" s="697"/>
      <c r="Q54" s="697"/>
      <c r="R54" s="697"/>
      <c r="S54" s="697"/>
    </row>
    <row r="55" spans="2:19" s="689" customFormat="1" hidden="1" x14ac:dyDescent="0.25">
      <c r="B55" s="753" t="s">
        <v>1363</v>
      </c>
      <c r="C55" s="817">
        <f>$C$9*'Custos de Implantação'!$C$18*SUM('Custos de Implantação'!C20:C24)</f>
        <v>0</v>
      </c>
      <c r="D55" s="886"/>
      <c r="E55" s="957"/>
      <c r="F55" s="770"/>
      <c r="H55" s="697"/>
      <c r="I55" s="697"/>
      <c r="J55" s="697"/>
      <c r="K55" s="697"/>
      <c r="L55" s="697"/>
      <c r="M55" s="697"/>
      <c r="N55" s="697"/>
      <c r="O55" s="697"/>
      <c r="P55" s="697"/>
      <c r="Q55" s="697"/>
      <c r="R55" s="697"/>
      <c r="S55" s="697"/>
    </row>
    <row r="56" spans="2:19" s="689" customFormat="1" hidden="1" x14ac:dyDescent="0.25">
      <c r="B56" s="753"/>
      <c r="C56" s="817"/>
      <c r="D56" s="797"/>
      <c r="E56" s="882"/>
      <c r="F56" s="770"/>
      <c r="H56" s="697"/>
      <c r="I56" s="697"/>
      <c r="J56" s="697"/>
      <c r="K56" s="697"/>
      <c r="L56" s="697"/>
      <c r="M56" s="697"/>
      <c r="N56" s="697"/>
      <c r="O56" s="697"/>
      <c r="P56" s="697"/>
      <c r="Q56" s="697"/>
      <c r="R56" s="697"/>
      <c r="S56" s="697"/>
    </row>
    <row r="57" spans="2:19" s="689" customFormat="1" hidden="1" x14ac:dyDescent="0.25">
      <c r="B57" s="753" t="s">
        <v>1186</v>
      </c>
      <c r="C57" s="817"/>
      <c r="D57" s="797"/>
      <c r="F57" s="770"/>
      <c r="H57" s="697"/>
      <c r="I57" s="697"/>
      <c r="J57" s="697"/>
      <c r="K57" s="697"/>
      <c r="L57" s="697"/>
      <c r="M57" s="697"/>
      <c r="N57" s="697"/>
      <c r="O57" s="697"/>
      <c r="P57" s="697"/>
      <c r="Q57" s="697"/>
      <c r="R57" s="697"/>
      <c r="S57" s="697"/>
    </row>
    <row r="58" spans="2:19" s="689" customFormat="1" ht="16.149999999999999" hidden="1" customHeight="1" x14ac:dyDescent="0.25">
      <c r="B58" s="753" t="s">
        <v>1359</v>
      </c>
      <c r="C58" s="817">
        <f>$C$10*'Custos de Implantação'!$C$26*SUM('Custos de Implantação'!C28)</f>
        <v>0</v>
      </c>
      <c r="D58" s="886"/>
      <c r="E58" s="952" t="s">
        <v>1367</v>
      </c>
      <c r="F58" s="770"/>
      <c r="H58" s="697"/>
      <c r="I58" s="697"/>
      <c r="J58" s="697"/>
      <c r="K58" s="697"/>
      <c r="L58" s="697"/>
      <c r="M58" s="697"/>
      <c r="N58" s="697"/>
      <c r="O58" s="697"/>
      <c r="P58" s="697"/>
      <c r="Q58" s="697"/>
      <c r="R58" s="697"/>
      <c r="S58" s="697"/>
    </row>
    <row r="59" spans="2:19" s="689" customFormat="1" hidden="1" x14ac:dyDescent="0.25">
      <c r="B59" s="753" t="s">
        <v>1360</v>
      </c>
      <c r="C59" s="817">
        <f>$C$10*'Custos de Implantação'!$C$26*SUM('Custos de Implantação'!C28:C29)</f>
        <v>0</v>
      </c>
      <c r="D59" s="886"/>
      <c r="E59" s="953"/>
      <c r="F59" s="770"/>
      <c r="H59" s="697"/>
      <c r="I59" s="697"/>
      <c r="J59" s="697"/>
      <c r="K59" s="697"/>
      <c r="L59" s="697"/>
      <c r="M59" s="697"/>
      <c r="N59" s="697"/>
      <c r="O59" s="697"/>
      <c r="P59" s="697"/>
      <c r="Q59" s="697"/>
      <c r="R59" s="697"/>
      <c r="S59" s="697"/>
    </row>
    <row r="60" spans="2:19" s="689" customFormat="1" hidden="1" x14ac:dyDescent="0.25">
      <c r="B60" s="753" t="s">
        <v>1361</v>
      </c>
      <c r="C60" s="817">
        <f>$C$10*'Custos de Implantação'!$C$26*SUM('Custos de Implantação'!C28:C30)</f>
        <v>0</v>
      </c>
      <c r="D60" s="886"/>
      <c r="E60" s="953"/>
      <c r="F60" s="770"/>
      <c r="H60" s="697"/>
      <c r="I60" s="697"/>
      <c r="J60" s="697"/>
      <c r="K60" s="697"/>
      <c r="L60" s="697"/>
      <c r="M60" s="697"/>
      <c r="N60" s="697"/>
      <c r="O60" s="697"/>
      <c r="P60" s="697"/>
      <c r="Q60" s="697"/>
      <c r="R60" s="697"/>
      <c r="S60" s="697"/>
    </row>
    <row r="61" spans="2:19" s="689" customFormat="1" hidden="1" x14ac:dyDescent="0.25">
      <c r="B61" s="753" t="s">
        <v>1362</v>
      </c>
      <c r="C61" s="817">
        <f>$C$10*'Custos de Implantação'!$C$26*SUM('Custos de Implantação'!C28:C31)</f>
        <v>0</v>
      </c>
      <c r="D61" s="886"/>
      <c r="E61" s="953"/>
      <c r="F61" s="770"/>
      <c r="H61" s="697"/>
      <c r="I61" s="697"/>
      <c r="J61" s="697"/>
      <c r="K61" s="697"/>
      <c r="L61" s="697"/>
      <c r="M61" s="697"/>
      <c r="N61" s="697"/>
      <c r="O61" s="697"/>
      <c r="P61" s="697"/>
      <c r="Q61" s="697"/>
      <c r="R61" s="697"/>
      <c r="S61" s="697"/>
    </row>
    <row r="62" spans="2:19" s="689" customFormat="1" hidden="1" x14ac:dyDescent="0.25">
      <c r="B62" s="753" t="s">
        <v>1363</v>
      </c>
      <c r="C62" s="817">
        <f>$C$10*'Custos de Implantação'!$C$26*SUM('Custos de Implantação'!C28:C32)</f>
        <v>0</v>
      </c>
      <c r="D62" s="886"/>
      <c r="E62" s="957"/>
      <c r="F62" s="770"/>
      <c r="H62" s="697"/>
      <c r="I62" s="697"/>
      <c r="J62" s="697"/>
      <c r="K62" s="697"/>
      <c r="L62" s="697"/>
      <c r="M62" s="697"/>
      <c r="N62" s="697"/>
      <c r="O62" s="697"/>
      <c r="P62" s="697"/>
      <c r="Q62" s="697"/>
      <c r="R62" s="697"/>
      <c r="S62" s="697"/>
    </row>
    <row r="63" spans="2:19" s="689" customFormat="1" hidden="1" x14ac:dyDescent="0.25">
      <c r="B63" s="753"/>
      <c r="C63" s="817"/>
      <c r="D63" s="797"/>
      <c r="E63" s="882"/>
      <c r="F63" s="770"/>
      <c r="H63" s="697"/>
      <c r="I63" s="697"/>
      <c r="J63" s="697"/>
      <c r="K63" s="697"/>
      <c r="L63" s="697"/>
      <c r="M63" s="697"/>
      <c r="N63" s="697"/>
      <c r="O63" s="697"/>
      <c r="P63" s="697"/>
      <c r="Q63" s="697"/>
      <c r="R63" s="697"/>
      <c r="S63" s="697"/>
    </row>
    <row r="64" spans="2:19" s="689" customFormat="1" hidden="1" x14ac:dyDescent="0.25">
      <c r="B64" s="753" t="s">
        <v>1187</v>
      </c>
      <c r="C64" s="817"/>
      <c r="D64" s="797"/>
      <c r="F64" s="770"/>
      <c r="H64" s="697"/>
      <c r="I64" s="697"/>
      <c r="J64" s="697"/>
      <c r="K64" s="697"/>
      <c r="L64" s="697"/>
      <c r="M64" s="697"/>
      <c r="N64" s="697"/>
      <c r="O64" s="697"/>
      <c r="P64" s="697"/>
      <c r="Q64" s="697"/>
      <c r="R64" s="697"/>
      <c r="S64" s="697"/>
    </row>
    <row r="65" spans="2:19" s="689" customFormat="1" ht="16.149999999999999" hidden="1" customHeight="1" x14ac:dyDescent="0.25">
      <c r="B65" s="753" t="s">
        <v>1359</v>
      </c>
      <c r="C65" s="817">
        <f>$C$11*'Custos de Implantação'!$C$34*SUM('Custos de Implantação'!C36)</f>
        <v>0</v>
      </c>
      <c r="D65" s="886"/>
      <c r="E65" s="952" t="s">
        <v>1366</v>
      </c>
      <c r="F65" s="770"/>
      <c r="H65" s="697"/>
      <c r="I65" s="697"/>
      <c r="J65" s="697"/>
      <c r="K65" s="697"/>
      <c r="L65" s="697"/>
      <c r="M65" s="697"/>
      <c r="N65" s="697"/>
      <c r="O65" s="697"/>
      <c r="P65" s="697"/>
      <c r="Q65" s="697"/>
      <c r="R65" s="697"/>
      <c r="S65" s="697"/>
    </row>
    <row r="66" spans="2:19" s="689" customFormat="1" hidden="1" x14ac:dyDescent="0.25">
      <c r="B66" s="753" t="s">
        <v>1360</v>
      </c>
      <c r="C66" s="817">
        <f>$C$11*'Custos de Implantação'!$C$34*SUM('Custos de Implantação'!C36:C37)</f>
        <v>0</v>
      </c>
      <c r="D66" s="886"/>
      <c r="E66" s="953"/>
      <c r="F66" s="770"/>
      <c r="H66" s="697"/>
      <c r="I66" s="697"/>
      <c r="J66" s="697"/>
      <c r="K66" s="697"/>
      <c r="L66" s="697"/>
      <c r="M66" s="697"/>
      <c r="N66" s="697"/>
      <c r="O66" s="697"/>
      <c r="P66" s="697"/>
      <c r="Q66" s="697"/>
      <c r="R66" s="697"/>
      <c r="S66" s="697"/>
    </row>
    <row r="67" spans="2:19" s="689" customFormat="1" hidden="1" x14ac:dyDescent="0.25">
      <c r="B67" s="753" t="s">
        <v>1361</v>
      </c>
      <c r="C67" s="817">
        <f>$C$11*'Custos de Implantação'!$C$34*SUM('Custos de Implantação'!C36:C38)</f>
        <v>0</v>
      </c>
      <c r="D67" s="886"/>
      <c r="E67" s="953"/>
      <c r="F67" s="770"/>
      <c r="H67" s="697"/>
      <c r="I67" s="697"/>
      <c r="J67" s="697"/>
      <c r="K67" s="697"/>
      <c r="L67" s="697"/>
      <c r="M67" s="697"/>
      <c r="N67" s="697"/>
      <c r="O67" s="697"/>
      <c r="P67" s="697"/>
      <c r="Q67" s="697"/>
      <c r="R67" s="697"/>
      <c r="S67" s="697"/>
    </row>
    <row r="68" spans="2:19" s="689" customFormat="1" hidden="1" x14ac:dyDescent="0.25">
      <c r="B68" s="753" t="s">
        <v>1362</v>
      </c>
      <c r="C68" s="817">
        <f>$C$11*'Custos de Implantação'!$C$34*SUM('Custos de Implantação'!C36:C39)</f>
        <v>0</v>
      </c>
      <c r="D68" s="886"/>
      <c r="E68" s="953"/>
      <c r="F68" s="770"/>
      <c r="H68" s="697"/>
      <c r="I68" s="697"/>
      <c r="J68" s="697"/>
      <c r="K68" s="697"/>
      <c r="L68" s="697"/>
      <c r="M68" s="697"/>
      <c r="N68" s="697"/>
      <c r="O68" s="697"/>
      <c r="P68" s="697"/>
      <c r="Q68" s="697"/>
      <c r="R68" s="697"/>
      <c r="S68" s="697"/>
    </row>
    <row r="69" spans="2:19" s="689" customFormat="1" hidden="1" x14ac:dyDescent="0.25">
      <c r="B69" s="753" t="s">
        <v>1363</v>
      </c>
      <c r="C69" s="817">
        <f>$C$11*'Custos de Implantação'!$C$34*SUM('Custos de Implantação'!C36:C40)</f>
        <v>0</v>
      </c>
      <c r="D69" s="886"/>
      <c r="E69" s="957"/>
      <c r="F69" s="770"/>
      <c r="H69" s="697"/>
      <c r="I69" s="697"/>
      <c r="J69" s="697"/>
      <c r="K69" s="697"/>
      <c r="L69" s="697"/>
      <c r="M69" s="697"/>
      <c r="N69" s="697"/>
      <c r="O69" s="697"/>
      <c r="P69" s="697"/>
      <c r="Q69" s="697"/>
      <c r="R69" s="697"/>
      <c r="S69" s="697"/>
    </row>
    <row r="70" spans="2:19" s="689" customFormat="1" hidden="1" x14ac:dyDescent="0.25">
      <c r="B70" s="753"/>
      <c r="C70" s="817"/>
      <c r="D70" s="797"/>
      <c r="E70" s="882"/>
      <c r="F70" s="770"/>
      <c r="H70" s="697"/>
      <c r="I70" s="697"/>
      <c r="J70" s="697"/>
      <c r="K70" s="697"/>
      <c r="L70" s="697"/>
      <c r="M70" s="697"/>
      <c r="N70" s="697"/>
      <c r="O70" s="697"/>
      <c r="P70" s="697"/>
      <c r="Q70" s="697"/>
      <c r="R70" s="697"/>
      <c r="S70" s="697"/>
    </row>
    <row r="71" spans="2:19" s="689" customFormat="1" hidden="1" x14ac:dyDescent="0.25">
      <c r="B71" s="753" t="s">
        <v>1188</v>
      </c>
      <c r="C71" s="817"/>
      <c r="D71" s="797"/>
      <c r="F71" s="770"/>
      <c r="H71" s="697"/>
      <c r="I71" s="697"/>
      <c r="J71" s="697"/>
      <c r="K71" s="697"/>
      <c r="L71" s="697"/>
      <c r="M71" s="697"/>
      <c r="N71" s="697"/>
      <c r="O71" s="697"/>
      <c r="P71" s="697"/>
      <c r="Q71" s="697"/>
      <c r="R71" s="697"/>
      <c r="S71" s="697"/>
    </row>
    <row r="72" spans="2:19" s="689" customFormat="1" ht="16.149999999999999" hidden="1" customHeight="1" x14ac:dyDescent="0.25">
      <c r="B72" s="753" t="s">
        <v>1359</v>
      </c>
      <c r="C72" s="817">
        <f>$C$12*SUM('Custos de Implantação'!C43)</f>
        <v>0</v>
      </c>
      <c r="D72" s="886"/>
      <c r="E72" s="952" t="s">
        <v>1365</v>
      </c>
      <c r="F72" s="770"/>
      <c r="H72" s="697"/>
      <c r="I72" s="697"/>
      <c r="J72" s="697"/>
      <c r="K72" s="697"/>
      <c r="L72" s="697"/>
      <c r="M72" s="697"/>
      <c r="N72" s="697"/>
      <c r="O72" s="697"/>
      <c r="P72" s="697"/>
      <c r="Q72" s="697"/>
      <c r="R72" s="697"/>
      <c r="S72" s="697"/>
    </row>
    <row r="73" spans="2:19" s="689" customFormat="1" hidden="1" x14ac:dyDescent="0.25">
      <c r="B73" s="753" t="s">
        <v>1360</v>
      </c>
      <c r="C73" s="817">
        <f>$C$12*SUM('Custos de Implantação'!C43:C44)</f>
        <v>0</v>
      </c>
      <c r="D73" s="886"/>
      <c r="E73" s="953"/>
      <c r="F73" s="770"/>
      <c r="H73" s="697"/>
      <c r="I73" s="697"/>
      <c r="J73" s="697"/>
      <c r="K73" s="697"/>
      <c r="L73" s="697"/>
      <c r="M73" s="697"/>
      <c r="N73" s="697"/>
      <c r="O73" s="697"/>
      <c r="P73" s="697"/>
      <c r="Q73" s="697"/>
      <c r="R73" s="697"/>
      <c r="S73" s="697"/>
    </row>
    <row r="74" spans="2:19" s="689" customFormat="1" hidden="1" x14ac:dyDescent="0.25">
      <c r="B74" s="753" t="s">
        <v>1361</v>
      </c>
      <c r="C74" s="817">
        <f>$C$12*SUM('Custos de Implantação'!C43:C45)</f>
        <v>0</v>
      </c>
      <c r="D74" s="886"/>
      <c r="E74" s="953"/>
      <c r="F74" s="770"/>
      <c r="H74" s="697"/>
      <c r="I74" s="697"/>
      <c r="J74" s="697"/>
      <c r="K74" s="697"/>
      <c r="L74" s="697"/>
      <c r="M74" s="697"/>
      <c r="N74" s="697"/>
      <c r="O74" s="697"/>
      <c r="P74" s="697"/>
      <c r="Q74" s="697"/>
      <c r="R74" s="697"/>
      <c r="S74" s="697"/>
    </row>
    <row r="75" spans="2:19" s="689" customFormat="1" hidden="1" x14ac:dyDescent="0.25">
      <c r="B75" s="753" t="s">
        <v>1362</v>
      </c>
      <c r="C75" s="817">
        <f>$C$12*SUM('Custos de Implantação'!C43:C46)</f>
        <v>0</v>
      </c>
      <c r="D75" s="886"/>
      <c r="E75" s="953"/>
      <c r="F75" s="770"/>
      <c r="H75" s="697"/>
      <c r="I75" s="697"/>
      <c r="J75" s="697"/>
      <c r="K75" s="697"/>
      <c r="L75" s="697"/>
      <c r="M75" s="697"/>
      <c r="N75" s="697"/>
      <c r="O75" s="697"/>
      <c r="P75" s="697"/>
      <c r="Q75" s="697"/>
      <c r="R75" s="697"/>
      <c r="S75" s="697"/>
    </row>
    <row r="76" spans="2:19" s="689" customFormat="1" hidden="1" x14ac:dyDescent="0.25">
      <c r="B76" s="753" t="s">
        <v>1363</v>
      </c>
      <c r="C76" s="817">
        <f>$C$12*SUM('Custos de Implantação'!C43:C47)</f>
        <v>0</v>
      </c>
      <c r="D76" s="886"/>
      <c r="E76" s="957"/>
      <c r="F76" s="770"/>
      <c r="H76" s="697"/>
      <c r="I76" s="697"/>
      <c r="J76" s="697"/>
      <c r="K76" s="697"/>
      <c r="L76" s="697"/>
      <c r="M76" s="697"/>
      <c r="N76" s="697"/>
      <c r="O76" s="697"/>
      <c r="P76" s="697"/>
      <c r="Q76" s="697"/>
      <c r="R76" s="697"/>
      <c r="S76" s="697"/>
    </row>
    <row r="77" spans="2:19" s="689" customFormat="1" x14ac:dyDescent="0.25">
      <c r="C77" s="801"/>
      <c r="D77" s="801"/>
      <c r="E77" s="887"/>
      <c r="G77" s="719"/>
      <c r="H77" s="697"/>
      <c r="I77" s="697"/>
      <c r="J77" s="697"/>
      <c r="K77" s="697"/>
      <c r="L77" s="697"/>
      <c r="M77" s="697"/>
      <c r="N77" s="697"/>
      <c r="O77" s="697"/>
      <c r="P77" s="697"/>
      <c r="Q77" s="697"/>
      <c r="R77" s="697"/>
      <c r="S77" s="697"/>
    </row>
    <row r="78" spans="2:19" x14ac:dyDescent="0.25">
      <c r="B78" s="834" t="s">
        <v>1599</v>
      </c>
      <c r="C78" s="888"/>
      <c r="D78" s="802"/>
      <c r="E78" s="889"/>
      <c r="F78" s="839"/>
    </row>
    <row r="79" spans="2:19" s="689" customFormat="1" ht="106.15" customHeight="1" x14ac:dyDescent="0.25">
      <c r="B79" s="847" t="s">
        <v>1600</v>
      </c>
      <c r="C79" s="890"/>
      <c r="D79" s="874">
        <v>0.2</v>
      </c>
      <c r="E79" s="891" t="s">
        <v>1564</v>
      </c>
      <c r="F79" s="690" t="s">
        <v>934</v>
      </c>
      <c r="H79" s="697"/>
      <c r="I79" s="697"/>
      <c r="J79" s="697"/>
      <c r="K79" s="697"/>
      <c r="L79" s="697"/>
      <c r="M79" s="697"/>
      <c r="N79" s="697"/>
      <c r="O79" s="697"/>
      <c r="P79" s="697"/>
      <c r="Q79" s="697"/>
      <c r="R79" s="697"/>
      <c r="S79" s="697"/>
    </row>
    <row r="80" spans="2:19" s="689" customFormat="1" ht="64.150000000000006" customHeight="1" x14ac:dyDescent="0.25">
      <c r="B80" s="847" t="s">
        <v>1601</v>
      </c>
      <c r="C80" s="892">
        <f>SUM(C81:C85)</f>
        <v>0</v>
      </c>
      <c r="D80" s="877" t="s">
        <v>1438</v>
      </c>
      <c r="E80" s="891" t="s">
        <v>1563</v>
      </c>
      <c r="F80" s="690"/>
      <c r="H80" s="697"/>
      <c r="I80" s="697"/>
      <c r="J80" s="697"/>
      <c r="K80" s="697"/>
      <c r="L80" s="697"/>
      <c r="M80" s="697"/>
      <c r="N80" s="697"/>
      <c r="O80" s="697"/>
      <c r="P80" s="697"/>
      <c r="Q80" s="697"/>
      <c r="R80" s="697"/>
      <c r="S80" s="697"/>
    </row>
    <row r="81" spans="2:19" s="689" customFormat="1" ht="16.149999999999999" hidden="1" customHeight="1" x14ac:dyDescent="0.25">
      <c r="B81" s="837" t="s">
        <v>108</v>
      </c>
      <c r="C81" s="892">
        <f>$C$79*SUM('Custos de Implantação'!C54)</f>
        <v>0</v>
      </c>
      <c r="D81" s="877" t="s">
        <v>1353</v>
      </c>
      <c r="E81" s="767"/>
      <c r="F81" s="690"/>
      <c r="H81" s="697"/>
      <c r="I81" s="697"/>
      <c r="J81" s="697"/>
      <c r="K81" s="697"/>
      <c r="L81" s="697"/>
      <c r="M81" s="697"/>
      <c r="N81" s="697"/>
      <c r="O81" s="697"/>
      <c r="P81" s="697"/>
      <c r="Q81" s="697"/>
      <c r="R81" s="697"/>
      <c r="S81" s="697"/>
    </row>
    <row r="82" spans="2:19" s="689" customFormat="1" ht="16.149999999999999" hidden="1" customHeight="1" x14ac:dyDescent="0.25">
      <c r="B82" s="837" t="s">
        <v>109</v>
      </c>
      <c r="C82" s="892">
        <f>$C$79*SUM('Custos de Implantação'!C54:C55)</f>
        <v>0</v>
      </c>
      <c r="D82" s="877" t="s">
        <v>1353</v>
      </c>
      <c r="E82" s="767"/>
      <c r="F82" s="690"/>
      <c r="H82" s="697"/>
      <c r="I82" s="697"/>
      <c r="J82" s="697"/>
      <c r="K82" s="697"/>
      <c r="L82" s="697"/>
      <c r="M82" s="697"/>
      <c r="N82" s="697"/>
      <c r="O82" s="697"/>
      <c r="P82" s="697"/>
      <c r="Q82" s="697"/>
      <c r="R82" s="697"/>
      <c r="S82" s="697"/>
    </row>
    <row r="83" spans="2:19" s="689" customFormat="1" ht="16.149999999999999" hidden="1" customHeight="1" x14ac:dyDescent="0.25">
      <c r="B83" s="837" t="s">
        <v>110</v>
      </c>
      <c r="C83" s="892">
        <f>$C$79*SUM('Custos de Implantação'!C54:C56)</f>
        <v>0</v>
      </c>
      <c r="D83" s="877" t="s">
        <v>1353</v>
      </c>
      <c r="E83" s="767"/>
      <c r="F83" s="690"/>
      <c r="H83" s="697"/>
      <c r="I83" s="697"/>
      <c r="J83" s="697"/>
      <c r="K83" s="697"/>
      <c r="L83" s="697"/>
      <c r="M83" s="697"/>
      <c r="N83" s="697"/>
      <c r="O83" s="697"/>
      <c r="P83" s="697"/>
      <c r="Q83" s="697"/>
      <c r="R83" s="697"/>
      <c r="S83" s="697"/>
    </row>
    <row r="84" spans="2:19" s="689" customFormat="1" ht="16.149999999999999" hidden="1" customHeight="1" x14ac:dyDescent="0.25">
      <c r="B84" s="837" t="s">
        <v>111</v>
      </c>
      <c r="C84" s="892">
        <f>$C$79*SUM('Custos de Implantação'!C54:C57)</f>
        <v>0</v>
      </c>
      <c r="D84" s="877" t="s">
        <v>1353</v>
      </c>
      <c r="E84" s="767"/>
      <c r="F84" s="690"/>
      <c r="H84" s="697"/>
      <c r="I84" s="697"/>
      <c r="J84" s="697"/>
      <c r="K84" s="697"/>
      <c r="L84" s="697"/>
      <c r="M84" s="697"/>
      <c r="N84" s="697"/>
      <c r="O84" s="697"/>
      <c r="P84" s="697"/>
      <c r="Q84" s="697"/>
      <c r="R84" s="697"/>
      <c r="S84" s="697"/>
    </row>
    <row r="85" spans="2:19" s="689" customFormat="1" ht="16.149999999999999" hidden="1" customHeight="1" x14ac:dyDescent="0.25">
      <c r="B85" s="837" t="s">
        <v>112</v>
      </c>
      <c r="C85" s="892">
        <f>$C$79*SUM('Custos de Implantação'!C54:C58)</f>
        <v>0</v>
      </c>
      <c r="D85" s="877" t="s">
        <v>1353</v>
      </c>
      <c r="E85" s="767"/>
      <c r="F85" s="690"/>
      <c r="H85" s="697"/>
      <c r="I85" s="697"/>
      <c r="J85" s="697"/>
      <c r="K85" s="697"/>
      <c r="L85" s="697"/>
      <c r="M85" s="697"/>
      <c r="N85" s="697"/>
      <c r="O85" s="697"/>
      <c r="P85" s="697"/>
      <c r="Q85" s="697"/>
      <c r="R85" s="697"/>
      <c r="S85" s="697"/>
    </row>
    <row r="86" spans="2:19" s="689" customFormat="1" ht="15" hidden="1" customHeight="1" x14ac:dyDescent="0.25">
      <c r="B86" s="847"/>
      <c r="C86" s="852"/>
      <c r="D86" s="893"/>
      <c r="E86" s="767"/>
      <c r="F86" s="690"/>
      <c r="H86" s="697"/>
      <c r="I86" s="697"/>
      <c r="J86" s="697"/>
      <c r="K86" s="697"/>
      <c r="L86" s="697"/>
      <c r="M86" s="697"/>
      <c r="N86" s="697"/>
      <c r="O86" s="697"/>
      <c r="P86" s="697"/>
      <c r="Q86" s="697"/>
      <c r="R86" s="697"/>
      <c r="S86" s="697"/>
    </row>
    <row r="87" spans="2:19" s="689" customFormat="1" ht="16.149999999999999" hidden="1" customHeight="1" x14ac:dyDescent="0.25">
      <c r="B87" s="795" t="s">
        <v>1259</v>
      </c>
      <c r="D87" s="697"/>
      <c r="F87" s="690" t="s">
        <v>938</v>
      </c>
      <c r="H87" s="697"/>
      <c r="I87" s="697"/>
      <c r="J87" s="697"/>
      <c r="K87" s="697"/>
      <c r="L87" s="697"/>
      <c r="M87" s="697"/>
      <c r="N87" s="697"/>
      <c r="O87" s="697"/>
      <c r="P87" s="697"/>
      <c r="Q87" s="697"/>
      <c r="R87" s="697"/>
      <c r="S87" s="697"/>
    </row>
    <row r="88" spans="2:19" s="689" customFormat="1" ht="16.149999999999999" hidden="1" customHeight="1" x14ac:dyDescent="0.25">
      <c r="B88" s="837" t="s">
        <v>108</v>
      </c>
      <c r="C88" s="817">
        <f>$C$79*'Custos de Implantação'!$C$52*SUM('Custos de Implantação'!C54)</f>
        <v>0</v>
      </c>
      <c r="D88" s="886" t="s">
        <v>1353</v>
      </c>
      <c r="E88" s="952" t="s">
        <v>1364</v>
      </c>
      <c r="F88" s="690"/>
      <c r="H88" s="697"/>
      <c r="I88" s="697"/>
      <c r="J88" s="697"/>
      <c r="K88" s="697"/>
      <c r="L88" s="697"/>
      <c r="M88" s="697"/>
      <c r="N88" s="697"/>
      <c r="O88" s="697"/>
      <c r="P88" s="697"/>
      <c r="Q88" s="697"/>
      <c r="R88" s="697"/>
      <c r="S88" s="697"/>
    </row>
    <row r="89" spans="2:19" s="689" customFormat="1" ht="16.149999999999999" hidden="1" customHeight="1" x14ac:dyDescent="0.25">
      <c r="B89" s="837" t="s">
        <v>109</v>
      </c>
      <c r="C89" s="817">
        <f>$C$79*'Custos de Implantação'!$C$52*SUM('Custos de Implantação'!C54:C55)</f>
        <v>0</v>
      </c>
      <c r="D89" s="886" t="s">
        <v>1353</v>
      </c>
      <c r="E89" s="953"/>
      <c r="F89" s="690"/>
      <c r="H89" s="697"/>
      <c r="I89" s="697"/>
      <c r="J89" s="697"/>
      <c r="K89" s="697"/>
      <c r="L89" s="697"/>
      <c r="M89" s="697"/>
      <c r="N89" s="697"/>
      <c r="O89" s="697"/>
      <c r="P89" s="697"/>
      <c r="Q89" s="697"/>
      <c r="R89" s="697"/>
      <c r="S89" s="697"/>
    </row>
    <row r="90" spans="2:19" s="689" customFormat="1" ht="16.149999999999999" hidden="1" customHeight="1" x14ac:dyDescent="0.25">
      <c r="B90" s="837" t="s">
        <v>110</v>
      </c>
      <c r="C90" s="817">
        <f>$C$79*'Custos de Implantação'!$C$52*SUM('Custos de Implantação'!C54:C56)</f>
        <v>0</v>
      </c>
      <c r="D90" s="886" t="s">
        <v>1353</v>
      </c>
      <c r="E90" s="953"/>
      <c r="F90" s="690"/>
      <c r="H90" s="697"/>
      <c r="I90" s="697"/>
      <c r="J90" s="697"/>
      <c r="K90" s="697"/>
      <c r="L90" s="697"/>
      <c r="M90" s="697"/>
      <c r="N90" s="697"/>
      <c r="O90" s="697"/>
      <c r="P90" s="697"/>
      <c r="Q90" s="697"/>
      <c r="R90" s="697"/>
      <c r="S90" s="697"/>
    </row>
    <row r="91" spans="2:19" s="689" customFormat="1" ht="16.149999999999999" hidden="1" customHeight="1" x14ac:dyDescent="0.25">
      <c r="B91" s="837" t="s">
        <v>111</v>
      </c>
      <c r="C91" s="817">
        <f>$C$79*'Custos de Implantação'!$C$52*SUM('Custos de Implantação'!C54:C57)</f>
        <v>0</v>
      </c>
      <c r="D91" s="886" t="s">
        <v>1353</v>
      </c>
      <c r="E91" s="953"/>
      <c r="F91" s="690"/>
      <c r="H91" s="697"/>
      <c r="I91" s="697"/>
      <c r="J91" s="697"/>
      <c r="K91" s="697"/>
      <c r="L91" s="697"/>
      <c r="M91" s="697"/>
      <c r="N91" s="697"/>
      <c r="O91" s="697"/>
      <c r="P91" s="697"/>
      <c r="Q91" s="697"/>
      <c r="R91" s="697"/>
      <c r="S91" s="697"/>
    </row>
    <row r="92" spans="2:19" s="689" customFormat="1" ht="16.149999999999999" hidden="1" customHeight="1" x14ac:dyDescent="0.25">
      <c r="B92" s="837" t="s">
        <v>112</v>
      </c>
      <c r="C92" s="817">
        <f>$C$79*'Custos de Implantação'!$C$52*SUM('Custos de Implantação'!C54:C58)</f>
        <v>0</v>
      </c>
      <c r="D92" s="886" t="s">
        <v>1353</v>
      </c>
      <c r="E92" s="957"/>
      <c r="F92" s="690"/>
      <c r="H92" s="697"/>
      <c r="I92" s="697"/>
      <c r="J92" s="697"/>
      <c r="K92" s="697"/>
      <c r="L92" s="697"/>
      <c r="M92" s="697"/>
      <c r="N92" s="697"/>
      <c r="O92" s="697"/>
      <c r="P92" s="697"/>
      <c r="Q92" s="697"/>
      <c r="R92" s="697"/>
      <c r="S92" s="697"/>
    </row>
    <row r="93" spans="2:19" s="689" customFormat="1" ht="16.149999999999999" hidden="1" customHeight="1" x14ac:dyDescent="0.25">
      <c r="B93" s="837"/>
      <c r="C93" s="855"/>
      <c r="D93" s="893"/>
      <c r="E93" s="767"/>
      <c r="F93" s="690"/>
      <c r="H93" s="697"/>
      <c r="I93" s="697"/>
      <c r="J93" s="697"/>
      <c r="K93" s="697"/>
      <c r="L93" s="697"/>
      <c r="M93" s="697"/>
      <c r="N93" s="697"/>
      <c r="O93" s="697"/>
      <c r="P93" s="697"/>
      <c r="Q93" s="697"/>
      <c r="R93" s="697"/>
      <c r="S93" s="697"/>
    </row>
    <row r="94" spans="2:19" s="689" customFormat="1" ht="16.149999999999999" hidden="1" customHeight="1" x14ac:dyDescent="0.25">
      <c r="B94" s="795" t="s">
        <v>1260</v>
      </c>
      <c r="C94" s="894"/>
      <c r="D94" s="895"/>
      <c r="E94" s="697"/>
      <c r="F94" s="770"/>
      <c r="H94" s="697"/>
      <c r="I94" s="697"/>
      <c r="J94" s="697"/>
      <c r="K94" s="697"/>
      <c r="L94" s="697"/>
      <c r="M94" s="697"/>
      <c r="N94" s="697"/>
      <c r="O94" s="697"/>
      <c r="P94" s="697"/>
      <c r="Q94" s="697"/>
      <c r="R94" s="697"/>
      <c r="S94" s="697"/>
    </row>
    <row r="95" spans="2:19" s="689" customFormat="1" ht="16.149999999999999" hidden="1" customHeight="1" x14ac:dyDescent="0.25">
      <c r="B95" s="837" t="s">
        <v>108</v>
      </c>
      <c r="C95" s="817">
        <f>$C$79*SUM('Custos de Implantação'!C61)</f>
        <v>0</v>
      </c>
      <c r="D95" s="886" t="s">
        <v>1353</v>
      </c>
      <c r="E95" s="952" t="s">
        <v>1364</v>
      </c>
      <c r="F95" s="770"/>
      <c r="H95" s="697"/>
      <c r="I95" s="697"/>
      <c r="J95" s="697"/>
      <c r="K95" s="697"/>
      <c r="L95" s="697"/>
      <c r="M95" s="697"/>
      <c r="N95" s="697"/>
      <c r="O95" s="697"/>
      <c r="P95" s="697"/>
      <c r="Q95" s="697"/>
      <c r="R95" s="697"/>
      <c r="S95" s="697"/>
    </row>
    <row r="96" spans="2:19" s="689" customFormat="1" ht="16.149999999999999" hidden="1" customHeight="1" x14ac:dyDescent="0.25">
      <c r="B96" s="837" t="s">
        <v>109</v>
      </c>
      <c r="C96" s="817">
        <f>$C$79*SUM('Custos de Implantação'!C61:C62)</f>
        <v>0</v>
      </c>
      <c r="D96" s="886" t="s">
        <v>1353</v>
      </c>
      <c r="E96" s="953"/>
      <c r="F96" s="770"/>
      <c r="H96" s="697"/>
      <c r="I96" s="697"/>
      <c r="J96" s="697"/>
      <c r="K96" s="697"/>
      <c r="L96" s="697"/>
      <c r="M96" s="697"/>
      <c r="N96" s="697"/>
      <c r="O96" s="697"/>
      <c r="P96" s="697"/>
      <c r="Q96" s="697"/>
      <c r="R96" s="697"/>
      <c r="S96" s="697"/>
    </row>
    <row r="97" spans="2:19" s="689" customFormat="1" ht="16.149999999999999" hidden="1" customHeight="1" x14ac:dyDescent="0.25">
      <c r="B97" s="837" t="s">
        <v>110</v>
      </c>
      <c r="C97" s="817">
        <f>$C$79*SUM('Custos de Implantação'!C61:C63)</f>
        <v>0</v>
      </c>
      <c r="D97" s="886" t="s">
        <v>1353</v>
      </c>
      <c r="E97" s="953"/>
      <c r="F97" s="770"/>
      <c r="H97" s="697"/>
      <c r="I97" s="697"/>
      <c r="J97" s="697"/>
      <c r="K97" s="697"/>
      <c r="L97" s="697"/>
      <c r="M97" s="697"/>
      <c r="N97" s="697"/>
      <c r="O97" s="697"/>
      <c r="P97" s="697"/>
      <c r="Q97" s="697"/>
      <c r="R97" s="697"/>
      <c r="S97" s="697"/>
    </row>
    <row r="98" spans="2:19" s="689" customFormat="1" ht="16.149999999999999" hidden="1" customHeight="1" x14ac:dyDescent="0.25">
      <c r="B98" s="837" t="s">
        <v>111</v>
      </c>
      <c r="C98" s="817">
        <f>$C$79*SUM('Custos de Implantação'!C61:C64)</f>
        <v>0</v>
      </c>
      <c r="D98" s="886" t="s">
        <v>1353</v>
      </c>
      <c r="E98" s="953"/>
      <c r="F98" s="770"/>
      <c r="H98" s="697"/>
      <c r="I98" s="697"/>
      <c r="J98" s="697"/>
      <c r="K98" s="697"/>
      <c r="L98" s="697"/>
      <c r="M98" s="697"/>
      <c r="N98" s="697"/>
      <c r="O98" s="697"/>
      <c r="P98" s="697"/>
      <c r="Q98" s="697"/>
      <c r="R98" s="697"/>
      <c r="S98" s="697"/>
    </row>
    <row r="99" spans="2:19" s="689" customFormat="1" ht="16.149999999999999" hidden="1" customHeight="1" x14ac:dyDescent="0.25">
      <c r="B99" s="837" t="s">
        <v>112</v>
      </c>
      <c r="C99" s="817">
        <f>$C$79*SUM('Custos de Implantação'!C61:C65)</f>
        <v>0</v>
      </c>
      <c r="D99" s="886" t="s">
        <v>1353</v>
      </c>
      <c r="E99" s="957"/>
      <c r="F99" s="770"/>
      <c r="H99" s="697"/>
      <c r="I99" s="697"/>
      <c r="J99" s="697"/>
      <c r="K99" s="697"/>
      <c r="L99" s="697"/>
      <c r="M99" s="697"/>
      <c r="N99" s="697"/>
      <c r="O99" s="697"/>
      <c r="P99" s="697"/>
      <c r="Q99" s="697"/>
      <c r="R99" s="697"/>
      <c r="S99" s="697"/>
    </row>
    <row r="100" spans="2:19" s="689" customFormat="1" ht="16.149999999999999" customHeight="1" x14ac:dyDescent="0.25">
      <c r="C100" s="751"/>
      <c r="D100" s="751"/>
      <c r="G100" s="719"/>
      <c r="H100" s="697"/>
      <c r="I100" s="697"/>
      <c r="J100" s="697"/>
      <c r="K100" s="697"/>
      <c r="L100" s="697"/>
      <c r="M100" s="697"/>
      <c r="N100" s="697"/>
      <c r="O100" s="697"/>
      <c r="P100" s="697"/>
      <c r="Q100" s="697"/>
      <c r="R100" s="697"/>
      <c r="S100" s="697"/>
    </row>
    <row r="101" spans="2:19" x14ac:dyDescent="0.25">
      <c r="B101" s="834" t="s">
        <v>1602</v>
      </c>
      <c r="C101" s="787"/>
      <c r="D101" s="802"/>
      <c r="E101" s="805" t="s">
        <v>1565</v>
      </c>
      <c r="F101" s="839"/>
      <c r="H101" s="828"/>
      <c r="I101" s="828"/>
      <c r="J101" s="828"/>
      <c r="K101" s="828"/>
      <c r="L101" s="828"/>
    </row>
    <row r="102" spans="2:19" s="689" customFormat="1" ht="31.9" customHeight="1" x14ac:dyDescent="0.25">
      <c r="B102" s="847" t="s">
        <v>1695</v>
      </c>
      <c r="C102" s="806"/>
      <c r="D102" s="761"/>
      <c r="E102" s="762" t="s">
        <v>1566</v>
      </c>
      <c r="F102" s="793" t="s">
        <v>1280</v>
      </c>
      <c r="H102" s="828"/>
      <c r="I102" s="828"/>
      <c r="J102" s="828"/>
      <c r="K102" s="828"/>
      <c r="L102" s="828"/>
      <c r="M102" s="697"/>
      <c r="N102" s="828"/>
      <c r="O102" s="697"/>
      <c r="P102" s="697"/>
      <c r="Q102" s="697"/>
      <c r="R102" s="697"/>
      <c r="S102" s="697"/>
    </row>
    <row r="103" spans="2:19" s="689" customFormat="1" ht="30" x14ac:dyDescent="0.25">
      <c r="B103" s="847" t="s">
        <v>1694</v>
      </c>
      <c r="C103" s="811"/>
      <c r="D103" s="896"/>
      <c r="F103" s="793"/>
      <c r="H103" s="697"/>
      <c r="I103" s="697"/>
      <c r="J103" s="697"/>
      <c r="K103" s="697"/>
      <c r="L103" s="697"/>
      <c r="M103" s="697"/>
      <c r="N103" s="697"/>
      <c r="O103" s="697"/>
      <c r="P103" s="697"/>
      <c r="Q103" s="697"/>
      <c r="R103" s="697"/>
      <c r="S103" s="697"/>
    </row>
    <row r="104" spans="2:19" s="689" customFormat="1" ht="16.149999999999999" customHeight="1" x14ac:dyDescent="0.25">
      <c r="B104" s="837" t="s">
        <v>1473</v>
      </c>
      <c r="C104" s="778"/>
      <c r="D104" s="897">
        <f>'Ambito de Implementação'!C18</f>
        <v>0</v>
      </c>
      <c r="E104" s="952" t="s">
        <v>1567</v>
      </c>
      <c r="F104" s="793"/>
      <c r="H104" s="697"/>
      <c r="I104" s="697"/>
      <c r="J104" s="697"/>
      <c r="K104" s="697"/>
      <c r="L104" s="697"/>
      <c r="M104" s="697"/>
      <c r="N104" s="697"/>
      <c r="O104" s="697"/>
      <c r="P104" s="697"/>
      <c r="Q104" s="697"/>
      <c r="R104" s="697"/>
      <c r="S104" s="697"/>
    </row>
    <row r="105" spans="2:19" s="689" customFormat="1" ht="16.149999999999999" customHeight="1" x14ac:dyDescent="0.25">
      <c r="B105" s="837" t="s">
        <v>1474</v>
      </c>
      <c r="C105" s="778"/>
      <c r="D105" s="897">
        <f>'Ambito de Implementação'!C19</f>
        <v>0</v>
      </c>
      <c r="E105" s="953"/>
      <c r="F105" s="793"/>
      <c r="H105" s="697"/>
      <c r="I105" s="697"/>
      <c r="J105" s="697"/>
      <c r="K105" s="697"/>
      <c r="L105" s="697"/>
      <c r="M105" s="697"/>
      <c r="N105" s="697"/>
      <c r="O105" s="697"/>
      <c r="P105" s="697"/>
      <c r="Q105" s="697"/>
      <c r="R105" s="697"/>
      <c r="S105" s="697"/>
    </row>
    <row r="106" spans="2:19" s="689" customFormat="1" ht="16.149999999999999" customHeight="1" x14ac:dyDescent="0.25">
      <c r="B106" s="837" t="s">
        <v>1475</v>
      </c>
      <c r="C106" s="778"/>
      <c r="D106" s="897">
        <f>'Ambito de Implementação'!C20</f>
        <v>0</v>
      </c>
      <c r="E106" s="953"/>
      <c r="F106" s="793"/>
      <c r="H106" s="697"/>
      <c r="I106" s="816"/>
      <c r="J106" s="697"/>
      <c r="K106" s="697"/>
      <c r="L106" s="697"/>
      <c r="M106" s="697"/>
      <c r="N106" s="697"/>
      <c r="O106" s="697"/>
      <c r="P106" s="697"/>
      <c r="Q106" s="697"/>
      <c r="R106" s="697"/>
      <c r="S106" s="697"/>
    </row>
    <row r="107" spans="2:19" s="689" customFormat="1" ht="16.149999999999999" customHeight="1" x14ac:dyDescent="0.25">
      <c r="B107" s="837" t="s">
        <v>1476</v>
      </c>
      <c r="C107" s="778"/>
      <c r="D107" s="897">
        <f>'Ambito de Implementação'!C21</f>
        <v>0</v>
      </c>
      <c r="E107" s="953"/>
      <c r="F107" s="793"/>
      <c r="H107" s="697"/>
      <c r="I107" s="816"/>
      <c r="J107" s="697"/>
      <c r="K107" s="697"/>
      <c r="L107" s="697"/>
      <c r="M107" s="697"/>
      <c r="N107" s="697"/>
      <c r="O107" s="697"/>
      <c r="P107" s="697"/>
      <c r="Q107" s="697"/>
      <c r="R107" s="697"/>
      <c r="S107" s="697"/>
    </row>
    <row r="108" spans="2:19" s="689" customFormat="1" ht="16.149999999999999" customHeight="1" x14ac:dyDescent="0.25">
      <c r="B108" s="837" t="s">
        <v>1477</v>
      </c>
      <c r="C108" s="778"/>
      <c r="D108" s="897">
        <f>'Ambito de Implementação'!C22</f>
        <v>0</v>
      </c>
      <c r="E108" s="957"/>
      <c r="F108" s="793"/>
      <c r="H108" s="697"/>
      <c r="I108" s="816"/>
      <c r="J108" s="697"/>
      <c r="K108" s="697"/>
      <c r="L108" s="697"/>
      <c r="M108" s="697"/>
      <c r="N108" s="697"/>
      <c r="O108" s="697"/>
      <c r="P108" s="697"/>
      <c r="Q108" s="697"/>
      <c r="R108" s="697"/>
      <c r="S108" s="697"/>
    </row>
    <row r="109" spans="2:19" x14ac:dyDescent="0.25">
      <c r="G109" s="719"/>
      <c r="I109" s="816"/>
    </row>
    <row r="110" spans="2:19" x14ac:dyDescent="0.25">
      <c r="B110" s="834" t="s">
        <v>1603</v>
      </c>
      <c r="C110" s="787"/>
      <c r="D110" s="802"/>
      <c r="E110" s="805" t="s">
        <v>1568</v>
      </c>
      <c r="F110" s="839"/>
    </row>
    <row r="111" spans="2:19" s="689" customFormat="1" ht="52.15" customHeight="1" x14ac:dyDescent="0.25">
      <c r="B111" s="847" t="s">
        <v>1604</v>
      </c>
      <c r="C111" s="806"/>
      <c r="D111" s="874" t="s">
        <v>1673</v>
      </c>
      <c r="E111" s="762" t="s">
        <v>1569</v>
      </c>
      <c r="F111" s="793" t="s">
        <v>1278</v>
      </c>
      <c r="H111" s="697"/>
      <c r="I111" s="697"/>
      <c r="J111" s="697"/>
      <c r="K111" s="697"/>
      <c r="L111" s="697"/>
      <c r="M111" s="697"/>
      <c r="N111" s="697"/>
      <c r="O111" s="697"/>
      <c r="P111" s="697"/>
      <c r="Q111" s="697"/>
      <c r="R111" s="697"/>
      <c r="S111" s="697"/>
    </row>
    <row r="112" spans="2:19" s="689" customFormat="1" ht="30" x14ac:dyDescent="0.25">
      <c r="B112" s="847" t="s">
        <v>1605</v>
      </c>
      <c r="C112" s="811"/>
      <c r="D112" s="857"/>
      <c r="F112" s="690" t="s">
        <v>938</v>
      </c>
      <c r="H112" s="697"/>
      <c r="I112" s="697"/>
      <c r="J112" s="697"/>
      <c r="K112" s="697"/>
      <c r="L112" s="697"/>
      <c r="M112" s="697"/>
      <c r="N112" s="697"/>
      <c r="O112" s="697"/>
      <c r="P112" s="697"/>
      <c r="Q112" s="697"/>
      <c r="R112" s="697"/>
      <c r="S112" s="697"/>
    </row>
    <row r="113" spans="2:19" s="689" customFormat="1" ht="16.149999999999999" customHeight="1" x14ac:dyDescent="0.25">
      <c r="B113" s="837" t="s">
        <v>1473</v>
      </c>
      <c r="C113" s="778"/>
      <c r="D113" s="898">
        <f>'Ambito de Implementação'!C18</f>
        <v>0</v>
      </c>
      <c r="E113" s="952" t="s">
        <v>1570</v>
      </c>
      <c r="F113" s="690"/>
      <c r="H113" s="697"/>
      <c r="I113" s="697"/>
      <c r="J113" s="697"/>
      <c r="K113" s="697"/>
      <c r="L113" s="697"/>
      <c r="M113" s="697"/>
      <c r="N113" s="697"/>
      <c r="O113" s="697"/>
      <c r="P113" s="697"/>
      <c r="Q113" s="697"/>
      <c r="R113" s="697"/>
      <c r="S113" s="697"/>
    </row>
    <row r="114" spans="2:19" s="689" customFormat="1" ht="16.149999999999999" customHeight="1" x14ac:dyDescent="0.25">
      <c r="B114" s="837" t="s">
        <v>1474</v>
      </c>
      <c r="C114" s="778"/>
      <c r="D114" s="898">
        <f>'Ambito de Implementação'!C19</f>
        <v>0</v>
      </c>
      <c r="E114" s="953"/>
      <c r="F114" s="690"/>
      <c r="H114" s="697"/>
      <c r="I114" s="697"/>
      <c r="J114" s="697"/>
      <c r="K114" s="697"/>
      <c r="L114" s="697"/>
      <c r="M114" s="697"/>
      <c r="N114" s="697"/>
      <c r="O114" s="697"/>
      <c r="P114" s="697"/>
      <c r="Q114" s="697"/>
      <c r="R114" s="697"/>
      <c r="S114" s="697"/>
    </row>
    <row r="115" spans="2:19" s="689" customFormat="1" ht="16.149999999999999" customHeight="1" x14ac:dyDescent="0.25">
      <c r="B115" s="837" t="s">
        <v>1475</v>
      </c>
      <c r="C115" s="778"/>
      <c r="D115" s="898">
        <f>'Ambito de Implementação'!C20</f>
        <v>0</v>
      </c>
      <c r="E115" s="953"/>
      <c r="F115" s="690"/>
      <c r="H115" s="697"/>
      <c r="I115" s="697"/>
      <c r="J115" s="697"/>
      <c r="K115" s="697"/>
      <c r="L115" s="697"/>
      <c r="M115" s="697"/>
      <c r="N115" s="697"/>
      <c r="O115" s="697"/>
      <c r="P115" s="697"/>
      <c r="Q115" s="697"/>
      <c r="R115" s="697"/>
      <c r="S115" s="697"/>
    </row>
    <row r="116" spans="2:19" s="689" customFormat="1" ht="16.149999999999999" customHeight="1" x14ac:dyDescent="0.25">
      <c r="B116" s="837" t="s">
        <v>1476</v>
      </c>
      <c r="C116" s="778"/>
      <c r="D116" s="898">
        <f>'Ambito de Implementação'!C21</f>
        <v>0</v>
      </c>
      <c r="E116" s="953"/>
      <c r="F116" s="690"/>
      <c r="H116" s="697"/>
      <c r="I116" s="697"/>
      <c r="J116" s="697"/>
      <c r="K116" s="697"/>
      <c r="L116" s="697"/>
      <c r="M116" s="697"/>
      <c r="N116" s="697"/>
      <c r="O116" s="697"/>
      <c r="P116" s="697"/>
      <c r="Q116" s="697"/>
      <c r="R116" s="697"/>
      <c r="S116" s="697"/>
    </row>
    <row r="117" spans="2:19" s="689" customFormat="1" ht="16.149999999999999" customHeight="1" x14ac:dyDescent="0.25">
      <c r="B117" s="837" t="s">
        <v>1477</v>
      </c>
      <c r="C117" s="778"/>
      <c r="D117" s="898">
        <f>'Ambito de Implementação'!C22</f>
        <v>0</v>
      </c>
      <c r="E117" s="957"/>
      <c r="F117" s="690"/>
      <c r="H117" s="697"/>
      <c r="I117" s="697"/>
      <c r="J117" s="697"/>
      <c r="K117" s="697"/>
      <c r="L117" s="697"/>
      <c r="M117" s="697"/>
      <c r="N117" s="697"/>
      <c r="O117" s="697"/>
      <c r="P117" s="697"/>
      <c r="Q117" s="697"/>
      <c r="R117" s="697"/>
      <c r="S117" s="697"/>
    </row>
    <row r="118" spans="2:19" s="689" customFormat="1" x14ac:dyDescent="0.25">
      <c r="B118" s="899"/>
      <c r="C118" s="900"/>
      <c r="D118" s="893"/>
    </row>
    <row r="119" spans="2:19" ht="45" x14ac:dyDescent="0.25">
      <c r="B119" s="834" t="s">
        <v>1606</v>
      </c>
      <c r="C119" s="787"/>
      <c r="D119" s="901"/>
      <c r="E119" s="805" t="s">
        <v>1571</v>
      </c>
      <c r="F119" s="839"/>
    </row>
    <row r="120" spans="2:19" s="689" customFormat="1" ht="48" customHeight="1" x14ac:dyDescent="0.25">
      <c r="B120" s="847" t="s">
        <v>1607</v>
      </c>
      <c r="C120" s="902"/>
      <c r="D120" s="761"/>
      <c r="E120" s="762" t="s">
        <v>1572</v>
      </c>
      <c r="F120" s="690" t="s">
        <v>934</v>
      </c>
      <c r="G120" s="719"/>
    </row>
    <row r="121" spans="2:19" s="689" customFormat="1" x14ac:dyDescent="0.25">
      <c r="B121" s="753"/>
      <c r="C121" s="751"/>
      <c r="E121" s="735"/>
      <c r="F121" s="690"/>
    </row>
    <row r="122" spans="2:19" s="689" customFormat="1" ht="30" x14ac:dyDescent="0.25">
      <c r="B122" s="753" t="s">
        <v>1608</v>
      </c>
      <c r="C122" s="822"/>
      <c r="D122" s="903"/>
      <c r="E122" s="735"/>
      <c r="F122" s="690"/>
    </row>
    <row r="123" spans="2:19" s="689" customFormat="1" ht="16.149999999999999" customHeight="1" x14ac:dyDescent="0.25">
      <c r="B123" s="837" t="s">
        <v>1473</v>
      </c>
      <c r="C123" s="778"/>
      <c r="D123" s="835"/>
      <c r="E123" s="952" t="s">
        <v>1573</v>
      </c>
      <c r="F123" s="690"/>
    </row>
    <row r="124" spans="2:19" s="689" customFormat="1" ht="16.149999999999999" customHeight="1" x14ac:dyDescent="0.25">
      <c r="B124" s="837" t="s">
        <v>1474</v>
      </c>
      <c r="C124" s="778"/>
      <c r="D124" s="835"/>
      <c r="E124" s="953"/>
      <c r="F124" s="690"/>
    </row>
    <row r="125" spans="2:19" s="689" customFormat="1" ht="16.149999999999999" customHeight="1" x14ac:dyDescent="0.25">
      <c r="B125" s="837" t="s">
        <v>1475</v>
      </c>
      <c r="C125" s="778"/>
      <c r="D125" s="835"/>
      <c r="E125" s="953"/>
      <c r="F125" s="690"/>
    </row>
    <row r="126" spans="2:19" s="689" customFormat="1" ht="16.149999999999999" customHeight="1" x14ac:dyDescent="0.25">
      <c r="B126" s="837" t="s">
        <v>1476</v>
      </c>
      <c r="C126" s="778"/>
      <c r="D126" s="835"/>
      <c r="E126" s="953"/>
      <c r="F126" s="690"/>
    </row>
    <row r="127" spans="2:19" s="689" customFormat="1" ht="16.149999999999999" customHeight="1" x14ac:dyDescent="0.25">
      <c r="B127" s="837" t="s">
        <v>1477</v>
      </c>
      <c r="C127" s="778"/>
      <c r="D127" s="835"/>
      <c r="E127" s="957"/>
      <c r="F127" s="690"/>
    </row>
    <row r="128" spans="2:19" s="689" customFormat="1" x14ac:dyDescent="0.25">
      <c r="B128" s="795"/>
      <c r="C128" s="852"/>
      <c r="D128" s="853"/>
      <c r="E128" s="735"/>
      <c r="F128" s="690"/>
    </row>
    <row r="129" spans="2:6" s="689" customFormat="1" x14ac:dyDescent="0.25">
      <c r="B129" s="847" t="s">
        <v>1692</v>
      </c>
      <c r="C129" s="904"/>
      <c r="D129" s="905" t="s">
        <v>1597</v>
      </c>
      <c r="E129" s="772"/>
      <c r="F129" s="690"/>
    </row>
    <row r="130" spans="2:6" s="689" customFormat="1" ht="30" x14ac:dyDescent="0.25">
      <c r="B130" s="847" t="s">
        <v>1693</v>
      </c>
      <c r="C130" s="811"/>
      <c r="D130" s="906"/>
      <c r="F130" s="690"/>
    </row>
    <row r="131" spans="2:6" s="689" customFormat="1" ht="16.149999999999999" customHeight="1" x14ac:dyDescent="0.25">
      <c r="B131" s="837" t="s">
        <v>1473</v>
      </c>
      <c r="C131" s="778"/>
      <c r="D131" s="898">
        <f>'Ambito de Implementação'!C18</f>
        <v>0</v>
      </c>
      <c r="E131" s="952" t="s">
        <v>1574</v>
      </c>
      <c r="F131" s="690"/>
    </row>
    <row r="132" spans="2:6" s="689" customFormat="1" ht="16.149999999999999" customHeight="1" x14ac:dyDescent="0.25">
      <c r="B132" s="837" t="s">
        <v>1474</v>
      </c>
      <c r="C132" s="778"/>
      <c r="D132" s="898">
        <f>'Ambito de Implementação'!C19</f>
        <v>0</v>
      </c>
      <c r="E132" s="953"/>
      <c r="F132" s="690"/>
    </row>
    <row r="133" spans="2:6" s="689" customFormat="1" ht="16.149999999999999" customHeight="1" x14ac:dyDescent="0.25">
      <c r="B133" s="837" t="s">
        <v>1475</v>
      </c>
      <c r="C133" s="778"/>
      <c r="D133" s="898">
        <f>'Ambito de Implementação'!C20</f>
        <v>0</v>
      </c>
      <c r="E133" s="953"/>
      <c r="F133" s="690"/>
    </row>
    <row r="134" spans="2:6" s="689" customFormat="1" ht="16.149999999999999" customHeight="1" x14ac:dyDescent="0.25">
      <c r="B134" s="837" t="s">
        <v>1476</v>
      </c>
      <c r="C134" s="778"/>
      <c r="D134" s="898">
        <f>'Ambito de Implementação'!C21</f>
        <v>0</v>
      </c>
      <c r="E134" s="953"/>
      <c r="F134" s="690"/>
    </row>
    <row r="135" spans="2:6" s="689" customFormat="1" ht="16.149999999999999" customHeight="1" x14ac:dyDescent="0.25">
      <c r="B135" s="837" t="s">
        <v>1477</v>
      </c>
      <c r="C135" s="778"/>
      <c r="D135" s="898">
        <f>'Ambito de Implementação'!C22</f>
        <v>0</v>
      </c>
      <c r="E135" s="957"/>
      <c r="F135" s="690"/>
    </row>
    <row r="136" spans="2:6" s="689" customFormat="1" x14ac:dyDescent="0.25">
      <c r="B136" s="837"/>
      <c r="C136" s="855"/>
      <c r="D136" s="866"/>
      <c r="E136" s="735"/>
      <c r="F136" s="690"/>
    </row>
    <row r="137" spans="2:6" s="689" customFormat="1" ht="31.9" customHeight="1" x14ac:dyDescent="0.25">
      <c r="B137" s="847" t="s">
        <v>1609</v>
      </c>
      <c r="C137" s="778"/>
      <c r="D137" s="794" t="s">
        <v>1598</v>
      </c>
      <c r="E137" s="792"/>
      <c r="F137" s="690"/>
    </row>
    <row r="138" spans="2:6" s="689" customFormat="1" hidden="1" x14ac:dyDescent="0.25">
      <c r="B138" s="847"/>
      <c r="C138" s="735"/>
      <c r="D138" s="735"/>
      <c r="E138" s="735"/>
      <c r="F138" s="690"/>
    </row>
    <row r="139" spans="2:6" s="689" customFormat="1" ht="79.900000000000006" hidden="1" customHeight="1" x14ac:dyDescent="0.25">
      <c r="B139" s="847" t="str">
        <f>"Insira o nº de participantes que podem ser formados em uma sessão de formação baseada em sala de aula "</f>
        <v xml:space="preserve">Insira o nº de participantes que podem ser formados em uma sessão de formação baseada em sala de aula </v>
      </c>
      <c r="C139" s="778"/>
      <c r="D139" s="907" t="str">
        <f>IF(C120="Classroom-based training","20-25","")</f>
        <v/>
      </c>
      <c r="E139" s="860" t="str">
        <f>IF(C120="Classroom-based training",CONCATENATE("For classroom-based training, this number will be used to calculate the number of training sessions required to train all the users.","For example, if the number of users to be trained is 110 and 20 users can be trained in one session, 6 sessions would have to be conducted.","If training is delivered through eLearning and costs for trainers does not apply, enter $0.00; other costs may be included under ‘other training costs per day.'"),"")</f>
        <v/>
      </c>
      <c r="F139" s="690"/>
    </row>
    <row r="140" spans="2:6" s="689" customFormat="1" ht="30" hidden="1" x14ac:dyDescent="0.25">
      <c r="B140" s="847" t="str">
        <f>"Insira o nº de formadores por sessão de formação baseada na sala de aula, se aplicável"</f>
        <v>Insira o nº de formadores por sessão de formação baseada na sala de aula, se aplicável</v>
      </c>
      <c r="C140" s="778"/>
      <c r="D140" s="794"/>
      <c r="E140" s="792"/>
      <c r="F140" s="690"/>
    </row>
    <row r="141" spans="2:6" s="689" customFormat="1" ht="30" hidden="1" x14ac:dyDescent="0.25">
      <c r="B141" s="847" t="str">
        <f>"Insira a taxa diária média para cada formador por formação baseada na sala de aula, se for aplicável"</f>
        <v>Insira a taxa diária média para cada formador por formação baseada na sala de aula, se for aplicável</v>
      </c>
      <c r="C141" s="778"/>
      <c r="D141" s="800" t="str">
        <f>IF(C120="Classroom-based training","$170 - 340 USD per day","")</f>
        <v/>
      </c>
      <c r="E141" s="792"/>
      <c r="F141" s="690"/>
    </row>
    <row r="142" spans="2:6" s="689" customFormat="1" ht="31.9" hidden="1" customHeight="1" x14ac:dyDescent="0.25">
      <c r="B142" s="847" t="str">
        <f>"Insira o custo de per diem para o formador, se aplicável"</f>
        <v>Insira o custo de per diem para o formador, se aplicável</v>
      </c>
      <c r="C142" s="862"/>
      <c r="D142" s="908" t="str">
        <f>IF(C120="Classroom-based training","$150 - 200 per person per day","")</f>
        <v/>
      </c>
      <c r="E142" s="792"/>
      <c r="F142" s="690"/>
    </row>
    <row r="143" spans="2:6" s="689" customFormat="1" ht="79.900000000000006" hidden="1" customHeight="1" x14ac:dyDescent="0.25">
      <c r="B143" s="847" t="str">
        <f>"Insira quaisquer outros custos de formação por dia"</f>
        <v>Insira quaisquer outros custos de formação por dia</v>
      </c>
      <c r="C143" s="909"/>
      <c r="D143" s="910"/>
      <c r="E143" s="864" t="str">
        <f>IF(C120="Classroom-based training",CONCATENATE("May include travel, facility and equipment rentals. Typical requirements: 1 facilitator should be present for every 20 participants assumed.","Costs should factor in number of training days, number of attendees, and location of training. The type of device utilized for the implementation (mobile, tablet or desktop computer) may impact training costs.","Training for mobile device systems may incur lower costs if users are familiar with similar mobile applications for other activities."),"")</f>
        <v/>
      </c>
      <c r="F143" s="690"/>
    </row>
    <row r="144" spans="2:6" s="689" customFormat="1" x14ac:dyDescent="0.25">
      <c r="B144" s="847"/>
      <c r="C144" s="866"/>
      <c r="D144" s="866"/>
      <c r="E144" s="735"/>
      <c r="F144" s="690"/>
    </row>
    <row r="145" spans="2:6" s="689" customFormat="1" ht="31.9" customHeight="1" x14ac:dyDescent="0.25">
      <c r="B145" s="847" t="s">
        <v>1610</v>
      </c>
      <c r="C145" s="866"/>
      <c r="D145" s="866"/>
      <c r="F145" s="690"/>
    </row>
    <row r="146" spans="2:6" s="689" customFormat="1" outlineLevel="1" x14ac:dyDescent="0.25">
      <c r="B146" s="1035" t="s">
        <v>1473</v>
      </c>
      <c r="C146" s="1025"/>
      <c r="D146" s="866"/>
      <c r="E146" s="735"/>
      <c r="F146" s="690"/>
    </row>
    <row r="147" spans="2:6" s="689" customFormat="1" outlineLevel="1" x14ac:dyDescent="0.25">
      <c r="B147" s="1019" t="s">
        <v>1716</v>
      </c>
      <c r="C147" s="1025">
        <f>IFERROR(ROUNDUP((C131/$C$139),0),0)</f>
        <v>0</v>
      </c>
      <c r="D147" s="866"/>
      <c r="E147" s="735"/>
      <c r="F147" s="690"/>
    </row>
    <row r="148" spans="2:6" s="689" customFormat="1" ht="30" outlineLevel="1" x14ac:dyDescent="0.25">
      <c r="B148" s="1019" t="s">
        <v>1730</v>
      </c>
      <c r="C148" s="1025">
        <f>(C131*$C$137)*$C$129</f>
        <v>0</v>
      </c>
      <c r="D148" s="866"/>
      <c r="E148" s="735"/>
      <c r="F148" s="690"/>
    </row>
    <row r="149" spans="2:6" s="689" customFormat="1" ht="30" outlineLevel="1" x14ac:dyDescent="0.25">
      <c r="B149" s="1019" t="s">
        <v>1731</v>
      </c>
      <c r="C149" s="1025">
        <f>($C$141+$C$142)*$C$140*$C$129*C147</f>
        <v>0</v>
      </c>
      <c r="D149" s="866"/>
      <c r="E149" s="735"/>
      <c r="F149" s="690"/>
    </row>
    <row r="150" spans="2:6" s="689" customFormat="1" ht="30" outlineLevel="1" x14ac:dyDescent="0.25">
      <c r="B150" s="1019" t="s">
        <v>1721</v>
      </c>
      <c r="C150" s="1025">
        <f>$C$143*$C$129*C147</f>
        <v>0</v>
      </c>
      <c r="D150" s="866"/>
      <c r="E150" s="735"/>
      <c r="F150" s="690"/>
    </row>
    <row r="151" spans="2:6" s="689" customFormat="1" ht="30" outlineLevel="1" x14ac:dyDescent="0.25">
      <c r="B151" s="1036" t="s">
        <v>1733</v>
      </c>
      <c r="C151" s="1037">
        <f>IF($C$120="Classroom-based training",SUM(C148:C150),C148)</f>
        <v>0</v>
      </c>
      <c r="D151" s="866"/>
      <c r="E151" s="735"/>
      <c r="F151" s="690"/>
    </row>
    <row r="152" spans="2:6" s="689" customFormat="1" ht="30.75" outlineLevel="1" thickBot="1" x14ac:dyDescent="0.3">
      <c r="B152" s="1038" t="s">
        <v>1734</v>
      </c>
      <c r="C152" s="1039">
        <f>C151+C123</f>
        <v>0</v>
      </c>
      <c r="D152" s="866"/>
      <c r="E152" s="735"/>
      <c r="F152" s="690"/>
    </row>
    <row r="153" spans="2:6" s="689" customFormat="1" ht="15.75" outlineLevel="1" thickTop="1" x14ac:dyDescent="0.25">
      <c r="B153" s="1019"/>
      <c r="C153" s="1025"/>
      <c r="D153" s="866"/>
      <c r="E153" s="735"/>
      <c r="F153" s="690"/>
    </row>
    <row r="154" spans="2:6" s="689" customFormat="1" outlineLevel="1" x14ac:dyDescent="0.25">
      <c r="B154" s="1035" t="s">
        <v>1474</v>
      </c>
      <c r="C154" s="1025"/>
      <c r="D154" s="866"/>
      <c r="E154" s="735"/>
      <c r="F154" s="690"/>
    </row>
    <row r="155" spans="2:6" s="689" customFormat="1" outlineLevel="1" x14ac:dyDescent="0.25">
      <c r="B155" s="1019" t="s">
        <v>1716</v>
      </c>
      <c r="C155" s="1025">
        <f>IFERROR(ROUNDUP((C132/$C$139),0),0)</f>
        <v>0</v>
      </c>
      <c r="D155" s="866"/>
      <c r="E155" s="735"/>
      <c r="F155" s="690"/>
    </row>
    <row r="156" spans="2:6" s="689" customFormat="1" ht="30" outlineLevel="1" x14ac:dyDescent="0.25">
      <c r="B156" s="1019" t="s">
        <v>1730</v>
      </c>
      <c r="C156" s="1025">
        <f>(C132*$C$137)*$C$129</f>
        <v>0</v>
      </c>
      <c r="D156" s="866"/>
      <c r="E156" s="735"/>
      <c r="F156" s="690"/>
    </row>
    <row r="157" spans="2:6" s="689" customFormat="1" ht="30" outlineLevel="1" x14ac:dyDescent="0.25">
      <c r="B157" s="1019" t="s">
        <v>1731</v>
      </c>
      <c r="C157" s="1025">
        <f>($C$141+$C$142)*$C$140*$C$129*C155</f>
        <v>0</v>
      </c>
      <c r="D157" s="866"/>
      <c r="E157" s="735"/>
      <c r="F157" s="690"/>
    </row>
    <row r="158" spans="2:6" s="689" customFormat="1" ht="30" outlineLevel="1" x14ac:dyDescent="0.25">
      <c r="B158" s="1019" t="s">
        <v>1721</v>
      </c>
      <c r="C158" s="1025">
        <f>$C$143*$C$129*C155</f>
        <v>0</v>
      </c>
      <c r="D158" s="866"/>
      <c r="E158" s="735"/>
      <c r="F158" s="690"/>
    </row>
    <row r="159" spans="2:6" s="689" customFormat="1" ht="30" outlineLevel="1" x14ac:dyDescent="0.25">
      <c r="B159" s="1036" t="s">
        <v>1736</v>
      </c>
      <c r="C159" s="1037">
        <f>IF($C$120="Classroom-based training",SUM(C156:C158),C156)</f>
        <v>0</v>
      </c>
      <c r="D159" s="866"/>
      <c r="E159" s="735"/>
      <c r="F159" s="690"/>
    </row>
    <row r="160" spans="2:6" s="689" customFormat="1" ht="30.75" outlineLevel="1" thickBot="1" x14ac:dyDescent="0.3">
      <c r="B160" s="1038" t="s">
        <v>1740</v>
      </c>
      <c r="C160" s="1039">
        <f>C159+C124</f>
        <v>0</v>
      </c>
      <c r="D160" s="866"/>
      <c r="E160" s="735"/>
      <c r="F160" s="690"/>
    </row>
    <row r="161" spans="2:6" s="689" customFormat="1" ht="15.75" outlineLevel="1" thickTop="1" x14ac:dyDescent="0.25">
      <c r="B161" s="1019"/>
      <c r="C161" s="1025"/>
      <c r="D161" s="866"/>
      <c r="E161" s="735"/>
      <c r="F161" s="690"/>
    </row>
    <row r="162" spans="2:6" s="689" customFormat="1" outlineLevel="1" x14ac:dyDescent="0.25">
      <c r="B162" s="1035" t="s">
        <v>1475</v>
      </c>
      <c r="C162" s="1025"/>
      <c r="D162" s="866"/>
      <c r="E162" s="735"/>
      <c r="F162" s="690"/>
    </row>
    <row r="163" spans="2:6" s="689" customFormat="1" outlineLevel="1" x14ac:dyDescent="0.25">
      <c r="B163" s="1019" t="s">
        <v>1716</v>
      </c>
      <c r="C163" s="1025">
        <f>IFERROR(ROUNDUP((C133/$C$139),0),0)</f>
        <v>0</v>
      </c>
      <c r="D163" s="866"/>
      <c r="E163" s="735"/>
      <c r="F163" s="690"/>
    </row>
    <row r="164" spans="2:6" s="689" customFormat="1" ht="30" outlineLevel="1" x14ac:dyDescent="0.25">
      <c r="B164" s="1019" t="s">
        <v>1730</v>
      </c>
      <c r="C164" s="1041">
        <f>(C133*$C$137)*$C$129</f>
        <v>0</v>
      </c>
      <c r="D164" s="866"/>
      <c r="E164" s="735"/>
      <c r="F164" s="690"/>
    </row>
    <row r="165" spans="2:6" s="689" customFormat="1" ht="30" outlineLevel="1" x14ac:dyDescent="0.25">
      <c r="B165" s="1019" t="s">
        <v>1731</v>
      </c>
      <c r="C165" s="1025">
        <f>($C$141+$C$142)*$C$140*$C$129*C163</f>
        <v>0</v>
      </c>
      <c r="D165" s="866"/>
      <c r="E165" s="735"/>
      <c r="F165" s="690"/>
    </row>
    <row r="166" spans="2:6" s="689" customFormat="1" ht="30" outlineLevel="1" x14ac:dyDescent="0.25">
      <c r="B166" s="1019" t="s">
        <v>1721</v>
      </c>
      <c r="C166" s="1041">
        <f>$C$143*$C$129*C163</f>
        <v>0</v>
      </c>
      <c r="D166" s="866"/>
      <c r="E166" s="735"/>
      <c r="F166" s="690"/>
    </row>
    <row r="167" spans="2:6" s="689" customFormat="1" ht="30" outlineLevel="1" x14ac:dyDescent="0.25">
      <c r="B167" s="1036" t="s">
        <v>1737</v>
      </c>
      <c r="C167" s="1037">
        <f>IF($C$120="Classroom-based training",SUM(C164:C166),C164)</f>
        <v>0</v>
      </c>
      <c r="D167" s="866"/>
      <c r="E167" s="735"/>
      <c r="F167" s="690"/>
    </row>
    <row r="168" spans="2:6" s="689" customFormat="1" ht="30.75" outlineLevel="1" thickBot="1" x14ac:dyDescent="0.3">
      <c r="B168" s="1040" t="s">
        <v>1741</v>
      </c>
      <c r="C168" s="1039">
        <f>C167+C125</f>
        <v>0</v>
      </c>
      <c r="D168" s="866"/>
      <c r="E168" s="735"/>
      <c r="F168" s="690"/>
    </row>
    <row r="169" spans="2:6" s="689" customFormat="1" ht="15.75" outlineLevel="1" thickTop="1" x14ac:dyDescent="0.25">
      <c r="B169" s="1019"/>
      <c r="C169" s="1025"/>
      <c r="D169" s="866"/>
      <c r="E169" s="735"/>
      <c r="F169" s="690"/>
    </row>
    <row r="170" spans="2:6" s="689" customFormat="1" outlineLevel="1" x14ac:dyDescent="0.25">
      <c r="B170" s="1035" t="s">
        <v>1735</v>
      </c>
      <c r="C170" s="1025"/>
      <c r="D170" s="866"/>
      <c r="E170" s="735"/>
      <c r="F170" s="690"/>
    </row>
    <row r="171" spans="2:6" s="689" customFormat="1" outlineLevel="1" x14ac:dyDescent="0.25">
      <c r="B171" s="1019" t="s">
        <v>1716</v>
      </c>
      <c r="C171" s="1025">
        <f>IFERROR(ROUNDUP((C134/$C$139),0),0)</f>
        <v>0</v>
      </c>
      <c r="D171" s="866"/>
      <c r="E171" s="735"/>
      <c r="F171" s="690"/>
    </row>
    <row r="172" spans="2:6" s="689" customFormat="1" ht="30" outlineLevel="1" x14ac:dyDescent="0.25">
      <c r="B172" s="1019" t="s">
        <v>1730</v>
      </c>
      <c r="C172" s="1025">
        <f>(C134*$C$137)*$C$129</f>
        <v>0</v>
      </c>
      <c r="D172" s="866"/>
      <c r="E172" s="735"/>
      <c r="F172" s="690"/>
    </row>
    <row r="173" spans="2:6" s="689" customFormat="1" ht="30" outlineLevel="1" x14ac:dyDescent="0.25">
      <c r="B173" s="1019" t="s">
        <v>1731</v>
      </c>
      <c r="C173" s="1025">
        <f>($C$141+$C$142)*$C$140*$C$129*C171</f>
        <v>0</v>
      </c>
      <c r="D173" s="866"/>
      <c r="E173" s="735"/>
      <c r="F173" s="690"/>
    </row>
    <row r="174" spans="2:6" s="689" customFormat="1" ht="30" outlineLevel="1" x14ac:dyDescent="0.25">
      <c r="B174" s="1019" t="s">
        <v>1721</v>
      </c>
      <c r="C174" s="1041">
        <f>$C$143*$C$129*C171</f>
        <v>0</v>
      </c>
      <c r="D174" s="866"/>
      <c r="E174" s="735"/>
      <c r="F174" s="690"/>
    </row>
    <row r="175" spans="2:6" s="689" customFormat="1" ht="30" outlineLevel="1" x14ac:dyDescent="0.25">
      <c r="B175" s="1036" t="s">
        <v>1738</v>
      </c>
      <c r="C175" s="1037">
        <f>IF($C$120="Classroom-based training",SUM(C172:C174),C172)</f>
        <v>0</v>
      </c>
      <c r="D175" s="866"/>
      <c r="E175" s="735"/>
      <c r="F175" s="690"/>
    </row>
    <row r="176" spans="2:6" s="689" customFormat="1" ht="30.75" outlineLevel="1" thickBot="1" x14ac:dyDescent="0.3">
      <c r="B176" s="1040" t="s">
        <v>1742</v>
      </c>
      <c r="C176" s="1039">
        <f>C175+C126</f>
        <v>0</v>
      </c>
      <c r="D176" s="866"/>
      <c r="E176" s="735"/>
      <c r="F176" s="690"/>
    </row>
    <row r="177" spans="2:11" s="689" customFormat="1" ht="15.75" outlineLevel="1" thickTop="1" x14ac:dyDescent="0.25">
      <c r="B177" s="1019"/>
      <c r="C177" s="1025"/>
      <c r="D177" s="866"/>
      <c r="E177" s="735"/>
      <c r="F177" s="690"/>
    </row>
    <row r="178" spans="2:11" s="689" customFormat="1" outlineLevel="1" x14ac:dyDescent="0.25">
      <c r="B178" s="1035" t="s">
        <v>1477</v>
      </c>
      <c r="C178" s="1025"/>
      <c r="D178" s="866"/>
      <c r="E178" s="735"/>
      <c r="F178" s="690"/>
    </row>
    <row r="179" spans="2:11" s="689" customFormat="1" outlineLevel="1" x14ac:dyDescent="0.25">
      <c r="B179" s="1019" t="s">
        <v>1716</v>
      </c>
      <c r="C179" s="1025">
        <f>IFERROR(ROUNDUP((C135/$C$139),0),0)</f>
        <v>0</v>
      </c>
      <c r="D179" s="866"/>
      <c r="E179" s="735"/>
      <c r="F179" s="690"/>
    </row>
    <row r="180" spans="2:11" s="689" customFormat="1" ht="30" outlineLevel="1" x14ac:dyDescent="0.25">
      <c r="B180" s="1019" t="s">
        <v>1730</v>
      </c>
      <c r="C180" s="1025">
        <f>(C135*$C$137)*$C$129</f>
        <v>0</v>
      </c>
      <c r="D180" s="866"/>
      <c r="E180" s="735"/>
      <c r="F180" s="690"/>
    </row>
    <row r="181" spans="2:11" s="689" customFormat="1" ht="30" outlineLevel="1" x14ac:dyDescent="0.25">
      <c r="B181" s="1019" t="s">
        <v>1731</v>
      </c>
      <c r="C181" s="1025">
        <f>($C$141+$C$142)*$C$140*$C$129*C179</f>
        <v>0</v>
      </c>
      <c r="D181" s="866"/>
      <c r="E181" s="735"/>
      <c r="F181" s="690"/>
    </row>
    <row r="182" spans="2:11" s="689" customFormat="1" ht="30" outlineLevel="1" x14ac:dyDescent="0.25">
      <c r="B182" s="1019" t="s">
        <v>1721</v>
      </c>
      <c r="C182" s="1041">
        <f>$C$143*$C$129*C179</f>
        <v>0</v>
      </c>
      <c r="D182" s="866"/>
      <c r="E182" s="765"/>
      <c r="F182" s="690"/>
    </row>
    <row r="183" spans="2:11" s="689" customFormat="1" ht="30" outlineLevel="1" x14ac:dyDescent="0.25">
      <c r="B183" s="1036" t="s">
        <v>1739</v>
      </c>
      <c r="C183" s="1037">
        <f>IF($C$120="Classroom-based training",SUM(C180:C182),C180)</f>
        <v>0</v>
      </c>
      <c r="D183" s="866"/>
      <c r="E183" s="735"/>
      <c r="F183" s="690"/>
    </row>
    <row r="184" spans="2:11" s="689" customFormat="1" ht="30.75" outlineLevel="1" thickBot="1" x14ac:dyDescent="0.3">
      <c r="B184" s="1040" t="s">
        <v>1743</v>
      </c>
      <c r="C184" s="1039">
        <f>C183+C127</f>
        <v>0</v>
      </c>
      <c r="D184" s="866"/>
      <c r="E184" s="735"/>
      <c r="F184" s="690"/>
    </row>
    <row r="185" spans="2:11" s="689" customFormat="1" ht="15.75" thickTop="1" x14ac:dyDescent="0.25">
      <c r="B185" s="719"/>
      <c r="C185" s="900"/>
      <c r="D185" s="911"/>
    </row>
    <row r="186" spans="2:11" ht="112.15" customHeight="1" x14ac:dyDescent="0.25">
      <c r="B186" s="834" t="s">
        <v>1611</v>
      </c>
      <c r="C186" s="787"/>
      <c r="D186" s="802"/>
      <c r="E186" s="805" t="s">
        <v>1575</v>
      </c>
      <c r="F186" s="839"/>
    </row>
    <row r="187" spans="2:11" s="689" customFormat="1" ht="48" customHeight="1" x14ac:dyDescent="0.25">
      <c r="B187" s="847" t="s">
        <v>1612</v>
      </c>
      <c r="C187" s="778"/>
      <c r="D187" s="761"/>
      <c r="E187" s="762" t="s">
        <v>1576</v>
      </c>
      <c r="F187" s="690" t="s">
        <v>934</v>
      </c>
    </row>
    <row r="188" spans="2:11" s="689" customFormat="1" ht="31.9" customHeight="1" x14ac:dyDescent="0.25">
      <c r="B188" s="847" t="s">
        <v>1613</v>
      </c>
      <c r="C188" s="778"/>
      <c r="D188" s="912"/>
      <c r="E188" s="762" t="s">
        <v>1577</v>
      </c>
      <c r="F188" s="690" t="s">
        <v>934</v>
      </c>
      <c r="G188" s="697"/>
      <c r="H188" s="828"/>
      <c r="I188" s="828"/>
      <c r="J188" s="697"/>
      <c r="K188" s="697"/>
    </row>
    <row r="189" spans="2:11" s="689" customFormat="1" x14ac:dyDescent="0.25">
      <c r="B189" s="847" t="s">
        <v>1691</v>
      </c>
      <c r="C189" s="836"/>
      <c r="D189" s="913"/>
      <c r="F189" s="770"/>
      <c r="G189" s="697"/>
      <c r="H189" s="828"/>
      <c r="I189" s="697"/>
      <c r="J189" s="697"/>
      <c r="K189" s="697"/>
    </row>
    <row r="190" spans="2:11" s="689" customFormat="1" ht="16.149999999999999" customHeight="1" x14ac:dyDescent="0.25">
      <c r="B190" s="837" t="s">
        <v>1473</v>
      </c>
      <c r="C190" s="778"/>
      <c r="D190" s="761"/>
      <c r="E190" s="952" t="s">
        <v>1578</v>
      </c>
      <c r="F190" s="770"/>
      <c r="G190" s="697"/>
      <c r="H190" s="828"/>
      <c r="I190" s="697"/>
      <c r="J190" s="697"/>
      <c r="K190" s="697"/>
    </row>
    <row r="191" spans="2:11" s="689" customFormat="1" ht="16.149999999999999" customHeight="1" x14ac:dyDescent="0.25">
      <c r="B191" s="837" t="s">
        <v>1474</v>
      </c>
      <c r="C191" s="778"/>
      <c r="D191" s="761"/>
      <c r="E191" s="953"/>
      <c r="F191" s="770"/>
      <c r="G191" s="697"/>
      <c r="H191" s="828"/>
      <c r="I191" s="697"/>
      <c r="J191" s="697"/>
      <c r="K191" s="697"/>
    </row>
    <row r="192" spans="2:11" s="689" customFormat="1" ht="16.149999999999999" customHeight="1" x14ac:dyDescent="0.25">
      <c r="B192" s="837" t="s">
        <v>1475</v>
      </c>
      <c r="C192" s="778"/>
      <c r="D192" s="761"/>
      <c r="E192" s="953"/>
      <c r="F192" s="770"/>
      <c r="G192" s="697"/>
      <c r="H192" s="828"/>
      <c r="I192" s="697"/>
      <c r="J192" s="697"/>
      <c r="K192" s="697"/>
    </row>
    <row r="193" spans="2:11" s="689" customFormat="1" ht="16.149999999999999" customHeight="1" x14ac:dyDescent="0.25">
      <c r="B193" s="837" t="s">
        <v>1476</v>
      </c>
      <c r="C193" s="778"/>
      <c r="D193" s="761"/>
      <c r="E193" s="953"/>
      <c r="F193" s="770"/>
      <c r="G193" s="697"/>
      <c r="H193" s="828"/>
      <c r="I193" s="697"/>
      <c r="J193" s="697"/>
      <c r="K193" s="697"/>
    </row>
    <row r="194" spans="2:11" s="689" customFormat="1" ht="16.149999999999999" customHeight="1" x14ac:dyDescent="0.25">
      <c r="B194" s="837" t="s">
        <v>1477</v>
      </c>
      <c r="C194" s="778"/>
      <c r="D194" s="761"/>
      <c r="E194" s="957"/>
      <c r="F194" s="770"/>
      <c r="G194" s="697"/>
      <c r="H194" s="697"/>
      <c r="I194" s="697"/>
      <c r="J194" s="697"/>
      <c r="K194" s="697"/>
    </row>
    <row r="195" spans="2:11" s="689" customFormat="1" ht="16.149999999999999" hidden="1" customHeight="1" x14ac:dyDescent="0.25">
      <c r="B195" s="837"/>
      <c r="C195" s="796"/>
      <c r="D195" s="763"/>
      <c r="E195" s="764"/>
      <c r="F195" s="770"/>
      <c r="G195" s="697"/>
      <c r="H195" s="697"/>
      <c r="I195" s="697"/>
      <c r="J195" s="697"/>
      <c r="K195" s="697"/>
    </row>
    <row r="196" spans="2:11" s="689" customFormat="1" ht="16.149999999999999" hidden="1" customHeight="1" x14ac:dyDescent="0.25">
      <c r="B196" s="837" t="s">
        <v>108</v>
      </c>
      <c r="C196" s="914">
        <f>$C$188*C190</f>
        <v>0</v>
      </c>
      <c r="D196" s="895"/>
      <c r="E196" s="735" t="s">
        <v>1355</v>
      </c>
      <c r="G196" s="697"/>
      <c r="H196" s="697"/>
      <c r="I196" s="697"/>
      <c r="J196" s="697"/>
      <c r="K196" s="697"/>
    </row>
    <row r="197" spans="2:11" s="689" customFormat="1" ht="16.149999999999999" hidden="1" customHeight="1" x14ac:dyDescent="0.25">
      <c r="B197" s="837" t="s">
        <v>109</v>
      </c>
      <c r="C197" s="914">
        <f>$C$188*C191</f>
        <v>0</v>
      </c>
      <c r="D197" s="895"/>
      <c r="E197" s="915"/>
      <c r="G197" s="697"/>
      <c r="H197" s="697"/>
      <c r="I197" s="697"/>
      <c r="J197" s="697"/>
      <c r="K197" s="697"/>
    </row>
    <row r="198" spans="2:11" s="689" customFormat="1" ht="16.149999999999999" hidden="1" customHeight="1" x14ac:dyDescent="0.25">
      <c r="B198" s="837" t="s">
        <v>110</v>
      </c>
      <c r="C198" s="914">
        <f>$C$188*C192</f>
        <v>0</v>
      </c>
      <c r="D198" s="895"/>
      <c r="E198" s="915"/>
      <c r="G198" s="697"/>
      <c r="H198" s="697"/>
      <c r="I198" s="697"/>
      <c r="J198" s="697"/>
      <c r="K198" s="697"/>
    </row>
    <row r="199" spans="2:11" s="689" customFormat="1" ht="16.149999999999999" hidden="1" customHeight="1" x14ac:dyDescent="0.25">
      <c r="B199" s="837" t="s">
        <v>111</v>
      </c>
      <c r="C199" s="914">
        <f>$C$188*C193</f>
        <v>0</v>
      </c>
      <c r="D199" s="895"/>
      <c r="E199" s="915"/>
      <c r="G199" s="697"/>
      <c r="H199" s="697"/>
      <c r="I199" s="697"/>
      <c r="J199" s="697"/>
      <c r="K199" s="697"/>
    </row>
    <row r="200" spans="2:11" s="689" customFormat="1" ht="16.149999999999999" hidden="1" customHeight="1" x14ac:dyDescent="0.25">
      <c r="B200" s="837" t="s">
        <v>112</v>
      </c>
      <c r="C200" s="914">
        <f>$C$188*C194</f>
        <v>0</v>
      </c>
      <c r="D200" s="895"/>
      <c r="E200" s="915"/>
      <c r="G200" s="697"/>
      <c r="H200" s="697"/>
      <c r="I200" s="697"/>
      <c r="J200" s="697"/>
      <c r="K200" s="697"/>
    </row>
    <row r="201" spans="2:11" s="689" customFormat="1" x14ac:dyDescent="0.25">
      <c r="B201" s="795"/>
      <c r="C201" s="916"/>
      <c r="D201" s="763"/>
      <c r="E201" s="735"/>
      <c r="G201" s="697"/>
      <c r="H201" s="697"/>
      <c r="I201" s="697"/>
      <c r="J201" s="697"/>
      <c r="K201" s="697"/>
    </row>
    <row r="202" spans="2:11" s="689" customFormat="1" ht="16.149999999999999" customHeight="1" x14ac:dyDescent="0.25">
      <c r="B202" s="847" t="s">
        <v>1614</v>
      </c>
      <c r="C202" s="830"/>
      <c r="D202" s="917"/>
      <c r="E202" s="735"/>
      <c r="F202" s="793" t="s">
        <v>1278</v>
      </c>
      <c r="G202" s="697"/>
      <c r="H202" s="697"/>
      <c r="I202" s="697"/>
      <c r="J202" s="697"/>
      <c r="K202" s="697"/>
    </row>
    <row r="203" spans="2:11" s="689" customFormat="1" ht="16.149999999999999" customHeight="1" x14ac:dyDescent="0.25">
      <c r="B203" s="837" t="s">
        <v>1473</v>
      </c>
      <c r="C203" s="778"/>
      <c r="D203" s="874"/>
      <c r="E203" s="952" t="s">
        <v>1674</v>
      </c>
      <c r="F203" s="793"/>
      <c r="G203" s="828"/>
      <c r="H203" s="869"/>
      <c r="I203" s="697"/>
      <c r="J203" s="697"/>
      <c r="K203" s="697"/>
    </row>
    <row r="204" spans="2:11" s="689" customFormat="1" ht="16.149999999999999" customHeight="1" x14ac:dyDescent="0.25">
      <c r="B204" s="837" t="s">
        <v>1474</v>
      </c>
      <c r="C204" s="778"/>
      <c r="D204" s="874"/>
      <c r="E204" s="953"/>
      <c r="F204" s="793"/>
      <c r="G204" s="828"/>
      <c r="H204" s="697"/>
      <c r="I204" s="697"/>
      <c r="J204" s="697"/>
      <c r="K204" s="697"/>
    </row>
    <row r="205" spans="2:11" s="689" customFormat="1" ht="16.149999999999999" customHeight="1" x14ac:dyDescent="0.25">
      <c r="B205" s="837" t="s">
        <v>1475</v>
      </c>
      <c r="C205" s="778"/>
      <c r="D205" s="874"/>
      <c r="E205" s="953"/>
      <c r="F205" s="793"/>
      <c r="G205" s="828"/>
      <c r="H205" s="697"/>
      <c r="I205" s="697"/>
      <c r="J205" s="697"/>
      <c r="K205" s="697"/>
    </row>
    <row r="206" spans="2:11" s="689" customFormat="1" ht="16.149999999999999" customHeight="1" x14ac:dyDescent="0.25">
      <c r="B206" s="837" t="s">
        <v>1476</v>
      </c>
      <c r="C206" s="778"/>
      <c r="D206" s="874"/>
      <c r="E206" s="953"/>
      <c r="F206" s="793"/>
      <c r="G206" s="828"/>
      <c r="H206" s="697"/>
      <c r="I206" s="697"/>
      <c r="J206" s="697"/>
      <c r="K206" s="697"/>
    </row>
    <row r="207" spans="2:11" s="689" customFormat="1" ht="16.149999999999999" customHeight="1" x14ac:dyDescent="0.25">
      <c r="B207" s="837" t="s">
        <v>1477</v>
      </c>
      <c r="C207" s="778"/>
      <c r="D207" s="874"/>
      <c r="E207" s="957"/>
      <c r="F207" s="793"/>
      <c r="G207" s="828"/>
      <c r="H207" s="697"/>
      <c r="I207" s="697"/>
      <c r="J207" s="697"/>
      <c r="K207" s="697"/>
    </row>
    <row r="208" spans="2:11" s="689" customFormat="1" ht="16.149999999999999" customHeight="1" x14ac:dyDescent="0.25">
      <c r="B208" s="837"/>
      <c r="C208" s="916"/>
      <c r="D208" s="763"/>
      <c r="E208" s="764"/>
      <c r="F208" s="793"/>
      <c r="G208" s="697"/>
      <c r="H208" s="697"/>
      <c r="I208" s="697"/>
      <c r="J208" s="697"/>
      <c r="K208" s="697"/>
    </row>
    <row r="209" spans="2:11" s="689" customFormat="1" ht="31.9" customHeight="1" x14ac:dyDescent="0.25">
      <c r="B209" s="847" t="s">
        <v>1690</v>
      </c>
      <c r="C209" s="830"/>
      <c r="D209" s="918"/>
      <c r="E209" s="735"/>
      <c r="F209" s="770"/>
      <c r="G209" s="697"/>
      <c r="H209" s="697"/>
      <c r="I209" s="697"/>
      <c r="J209" s="697"/>
      <c r="K209" s="697"/>
    </row>
    <row r="210" spans="2:11" s="689" customFormat="1" ht="14.65" customHeight="1" x14ac:dyDescent="0.25">
      <c r="B210" s="837" t="s">
        <v>1473</v>
      </c>
      <c r="C210" s="778"/>
      <c r="D210" s="761"/>
      <c r="E210" s="952" t="s">
        <v>1579</v>
      </c>
      <c r="F210" s="770"/>
      <c r="G210" s="828"/>
      <c r="H210" s="869"/>
      <c r="I210" s="697"/>
      <c r="J210" s="697"/>
      <c r="K210" s="697"/>
    </row>
    <row r="211" spans="2:11" s="689" customFormat="1" x14ac:dyDescent="0.25">
      <c r="B211" s="837" t="s">
        <v>1474</v>
      </c>
      <c r="C211" s="778"/>
      <c r="D211" s="761"/>
      <c r="E211" s="953"/>
      <c r="F211" s="770"/>
      <c r="G211" s="828"/>
      <c r="H211" s="697"/>
      <c r="I211" s="697"/>
      <c r="J211" s="697"/>
      <c r="K211" s="697"/>
    </row>
    <row r="212" spans="2:11" s="689" customFormat="1" x14ac:dyDescent="0.25">
      <c r="B212" s="837" t="s">
        <v>1475</v>
      </c>
      <c r="C212" s="778"/>
      <c r="D212" s="761"/>
      <c r="E212" s="953"/>
      <c r="F212" s="770"/>
      <c r="G212" s="828"/>
      <c r="H212" s="697"/>
      <c r="I212" s="697"/>
      <c r="J212" s="697"/>
      <c r="K212" s="697"/>
    </row>
    <row r="213" spans="2:11" s="689" customFormat="1" x14ac:dyDescent="0.25">
      <c r="B213" s="837" t="s">
        <v>1476</v>
      </c>
      <c r="C213" s="778"/>
      <c r="D213" s="761"/>
      <c r="E213" s="953"/>
      <c r="F213" s="770"/>
      <c r="G213" s="828"/>
      <c r="H213" s="697"/>
      <c r="I213" s="697"/>
      <c r="J213" s="697"/>
      <c r="K213" s="697"/>
    </row>
    <row r="214" spans="2:11" s="689" customFormat="1" x14ac:dyDescent="0.25">
      <c r="B214" s="837" t="s">
        <v>1477</v>
      </c>
      <c r="C214" s="778"/>
      <c r="D214" s="761"/>
      <c r="E214" s="957"/>
      <c r="F214" s="770"/>
      <c r="G214" s="828"/>
      <c r="H214" s="697"/>
      <c r="I214" s="697"/>
      <c r="J214" s="697"/>
      <c r="K214" s="697"/>
    </row>
    <row r="215" spans="2:11" s="689" customFormat="1" x14ac:dyDescent="0.25">
      <c r="B215" s="837"/>
      <c r="C215" s="919"/>
      <c r="D215" s="763"/>
      <c r="E215" s="764"/>
      <c r="F215" s="770"/>
      <c r="G215" s="697"/>
      <c r="H215" s="697"/>
      <c r="I215" s="697"/>
      <c r="J215" s="697"/>
      <c r="K215" s="697"/>
    </row>
    <row r="216" spans="2:11" s="689" customFormat="1" ht="96" customHeight="1" x14ac:dyDescent="0.25">
      <c r="B216" s="847" t="s">
        <v>1615</v>
      </c>
      <c r="C216" s="873"/>
      <c r="D216" s="874">
        <v>0.2</v>
      </c>
      <c r="E216" s="762" t="s">
        <v>1580</v>
      </c>
      <c r="F216" s="770"/>
      <c r="G216" s="697"/>
      <c r="H216" s="697"/>
      <c r="I216" s="697"/>
      <c r="J216" s="697"/>
      <c r="K216" s="697"/>
    </row>
    <row r="217" spans="2:11" s="689" customFormat="1" hidden="1" x14ac:dyDescent="0.25">
      <c r="B217" s="847" t="s">
        <v>1370</v>
      </c>
      <c r="C217" s="780"/>
      <c r="D217" s="800"/>
      <c r="E217" s="735"/>
      <c r="F217" s="770"/>
      <c r="G217" s="697"/>
      <c r="H217" s="697"/>
      <c r="I217" s="697"/>
      <c r="J217" s="697"/>
      <c r="K217" s="697"/>
    </row>
    <row r="218" spans="2:11" s="689" customFormat="1" hidden="1" x14ac:dyDescent="0.25">
      <c r="B218" s="837" t="s">
        <v>108</v>
      </c>
      <c r="C218" s="779">
        <f>$C$216*SUM(C210)</f>
        <v>0</v>
      </c>
      <c r="D218" s="800"/>
      <c r="E218" s="735"/>
      <c r="F218" s="770"/>
      <c r="G218" s="697"/>
      <c r="H218" s="697"/>
      <c r="I218" s="697"/>
      <c r="J218" s="697"/>
      <c r="K218" s="697"/>
    </row>
    <row r="219" spans="2:11" s="689" customFormat="1" hidden="1" x14ac:dyDescent="0.25">
      <c r="B219" s="837" t="s">
        <v>109</v>
      </c>
      <c r="C219" s="779">
        <f>$C$216*SUM(C210:C211)</f>
        <v>0</v>
      </c>
      <c r="D219" s="800"/>
      <c r="E219" s="735"/>
      <c r="F219" s="770"/>
      <c r="G219" s="697"/>
      <c r="H219" s="697"/>
      <c r="I219" s="697"/>
      <c r="J219" s="697"/>
      <c r="K219" s="697"/>
    </row>
    <row r="220" spans="2:11" s="689" customFormat="1" hidden="1" x14ac:dyDescent="0.25">
      <c r="B220" s="837" t="s">
        <v>110</v>
      </c>
      <c r="C220" s="779">
        <f>$C$216*SUM(C210:C212)</f>
        <v>0</v>
      </c>
      <c r="D220" s="800"/>
      <c r="E220" s="735"/>
      <c r="F220" s="770"/>
      <c r="G220" s="697"/>
      <c r="H220" s="697"/>
      <c r="I220" s="697"/>
      <c r="J220" s="697"/>
      <c r="K220" s="697"/>
    </row>
    <row r="221" spans="2:11" s="689" customFormat="1" hidden="1" x14ac:dyDescent="0.25">
      <c r="B221" s="837" t="s">
        <v>111</v>
      </c>
      <c r="C221" s="779">
        <f>$C$216*SUM(C210:C213)</f>
        <v>0</v>
      </c>
      <c r="D221" s="800"/>
      <c r="E221" s="735"/>
      <c r="F221" s="770"/>
      <c r="G221" s="697"/>
      <c r="H221" s="697"/>
      <c r="I221" s="697"/>
      <c r="J221" s="697"/>
      <c r="K221" s="697"/>
    </row>
    <row r="222" spans="2:11" s="689" customFormat="1" hidden="1" x14ac:dyDescent="0.25">
      <c r="B222" s="837" t="s">
        <v>112</v>
      </c>
      <c r="C222" s="779">
        <f>$C$216*SUM(C210:C214)</f>
        <v>0</v>
      </c>
      <c r="D222" s="800"/>
      <c r="E222" s="735"/>
      <c r="F222" s="770"/>
      <c r="G222" s="697"/>
      <c r="H222" s="697"/>
      <c r="I222" s="697"/>
      <c r="J222" s="697"/>
      <c r="K222" s="697"/>
    </row>
    <row r="223" spans="2:11" s="689" customFormat="1" ht="31.9" customHeight="1" x14ac:dyDescent="0.25">
      <c r="B223" s="847" t="s">
        <v>1616</v>
      </c>
      <c r="C223" s="778"/>
      <c r="D223" s="761"/>
      <c r="E223" s="860" t="s">
        <v>1581</v>
      </c>
      <c r="F223" s="770"/>
      <c r="G223" s="697"/>
      <c r="H223" s="697"/>
      <c r="I223" s="697"/>
      <c r="J223" s="697"/>
      <c r="K223" s="697"/>
    </row>
    <row r="224" spans="2:11" s="689" customFormat="1" ht="16.149999999999999" customHeight="1" x14ac:dyDescent="0.25">
      <c r="B224" s="847" t="s">
        <v>1617</v>
      </c>
      <c r="C224" s="778"/>
      <c r="D224" s="766"/>
      <c r="E224" s="920"/>
      <c r="G224" s="697"/>
      <c r="H224" s="697"/>
      <c r="I224" s="697"/>
      <c r="J224" s="697"/>
      <c r="K224" s="697"/>
    </row>
    <row r="225" spans="2:11" s="689" customFormat="1" x14ac:dyDescent="0.25">
      <c r="C225" s="751"/>
      <c r="D225" s="751"/>
      <c r="G225" s="697"/>
      <c r="H225" s="697"/>
      <c r="I225" s="697"/>
      <c r="J225" s="697"/>
      <c r="K225" s="697"/>
    </row>
    <row r="226" spans="2:11" ht="31.9" customHeight="1" x14ac:dyDescent="0.25">
      <c r="B226" s="834" t="s">
        <v>1618</v>
      </c>
      <c r="C226" s="787"/>
      <c r="D226" s="802"/>
      <c r="E226" s="805" t="s">
        <v>1582</v>
      </c>
      <c r="F226" s="839"/>
    </row>
    <row r="227" spans="2:11" s="689" customFormat="1" ht="82.15" customHeight="1" x14ac:dyDescent="0.25">
      <c r="B227" s="847" t="s">
        <v>1689</v>
      </c>
      <c r="C227" s="778"/>
      <c r="D227" s="912"/>
      <c r="E227" s="762" t="s">
        <v>1583</v>
      </c>
      <c r="F227" s="690" t="s">
        <v>934</v>
      </c>
      <c r="G227" s="697"/>
      <c r="H227" s="697"/>
      <c r="I227" s="697"/>
      <c r="J227" s="697"/>
      <c r="K227" s="697"/>
    </row>
    <row r="228" spans="2:11" s="689" customFormat="1" ht="30" x14ac:dyDescent="0.25">
      <c r="B228" s="847" t="s">
        <v>1619</v>
      </c>
      <c r="C228" s="921"/>
      <c r="D228" s="857"/>
      <c r="F228" s="690" t="s">
        <v>936</v>
      </c>
      <c r="G228" s="697"/>
      <c r="H228" s="697"/>
      <c r="I228" s="697"/>
      <c r="J228" s="697"/>
      <c r="K228" s="697"/>
    </row>
    <row r="229" spans="2:11" s="689" customFormat="1" ht="16.149999999999999" customHeight="1" x14ac:dyDescent="0.25">
      <c r="B229" s="837" t="s">
        <v>1473</v>
      </c>
      <c r="C229" s="778"/>
      <c r="D229" s="907"/>
      <c r="E229" s="952" t="s">
        <v>1584</v>
      </c>
      <c r="F229" s="690"/>
      <c r="G229" s="697"/>
      <c r="H229" s="697"/>
      <c r="I229" s="697"/>
      <c r="J229" s="697"/>
      <c r="K229" s="697"/>
    </row>
    <row r="230" spans="2:11" s="689" customFormat="1" ht="16.149999999999999" customHeight="1" x14ac:dyDescent="0.25">
      <c r="B230" s="837" t="s">
        <v>1474</v>
      </c>
      <c r="C230" s="778"/>
      <c r="D230" s="907"/>
      <c r="E230" s="953"/>
      <c r="F230" s="690"/>
      <c r="G230" s="697"/>
      <c r="H230" s="697"/>
      <c r="I230" s="697"/>
      <c r="J230" s="697"/>
      <c r="K230" s="697"/>
    </row>
    <row r="231" spans="2:11" s="689" customFormat="1" ht="16.149999999999999" customHeight="1" x14ac:dyDescent="0.25">
      <c r="B231" s="837" t="s">
        <v>1475</v>
      </c>
      <c r="C231" s="778"/>
      <c r="D231" s="907"/>
      <c r="E231" s="953"/>
      <c r="F231" s="690"/>
      <c r="G231" s="697"/>
      <c r="H231" s="697"/>
      <c r="I231" s="697"/>
      <c r="J231" s="697"/>
      <c r="K231" s="697"/>
    </row>
    <row r="232" spans="2:11" s="689" customFormat="1" ht="16.149999999999999" customHeight="1" x14ac:dyDescent="0.25">
      <c r="B232" s="837" t="s">
        <v>1476</v>
      </c>
      <c r="C232" s="778"/>
      <c r="D232" s="907"/>
      <c r="E232" s="953"/>
      <c r="F232" s="690"/>
      <c r="G232" s="697"/>
      <c r="H232" s="697"/>
      <c r="I232" s="697"/>
      <c r="J232" s="697"/>
      <c r="K232" s="697"/>
    </row>
    <row r="233" spans="2:11" s="689" customFormat="1" ht="16.149999999999999" customHeight="1" x14ac:dyDescent="0.25">
      <c r="B233" s="837" t="s">
        <v>1477</v>
      </c>
      <c r="C233" s="778"/>
      <c r="D233" s="907"/>
      <c r="E233" s="957"/>
      <c r="F233" s="690"/>
      <c r="G233" s="697"/>
      <c r="H233" s="697"/>
      <c r="I233" s="697"/>
      <c r="J233" s="697"/>
      <c r="K233" s="697"/>
    </row>
    <row r="234" spans="2:11" s="689" customFormat="1" x14ac:dyDescent="0.25">
      <c r="C234" s="841"/>
      <c r="D234" s="751"/>
      <c r="G234" s="697"/>
      <c r="H234" s="697"/>
      <c r="I234" s="697"/>
      <c r="J234" s="697"/>
      <c r="K234" s="697"/>
    </row>
    <row r="235" spans="2:11" ht="31.9" customHeight="1" x14ac:dyDescent="0.25">
      <c r="B235" s="834" t="s">
        <v>1500</v>
      </c>
      <c r="C235" s="842"/>
      <c r="D235" s="802"/>
      <c r="E235" s="805" t="s">
        <v>1585</v>
      </c>
      <c r="F235" s="839"/>
    </row>
    <row r="236" spans="2:11" s="689" customFormat="1" ht="52.15" customHeight="1" x14ac:dyDescent="0.25">
      <c r="B236" s="847" t="s">
        <v>1688</v>
      </c>
      <c r="C236" s="778"/>
      <c r="D236" s="922"/>
      <c r="E236" s="762" t="s">
        <v>1586</v>
      </c>
      <c r="F236" s="690" t="s">
        <v>934</v>
      </c>
      <c r="G236" s="697"/>
      <c r="H236" s="697"/>
      <c r="I236" s="697"/>
      <c r="J236" s="697"/>
      <c r="K236" s="697"/>
    </row>
    <row r="237" spans="2:11" s="689" customFormat="1" ht="16.149999999999999" customHeight="1" x14ac:dyDescent="0.25">
      <c r="B237" s="847" t="s">
        <v>1620</v>
      </c>
      <c r="C237" s="836"/>
      <c r="D237" s="913"/>
      <c r="F237" s="690"/>
      <c r="G237" s="697"/>
      <c r="H237" s="697"/>
      <c r="I237" s="697"/>
      <c r="J237" s="697"/>
      <c r="K237" s="697"/>
    </row>
    <row r="238" spans="2:11" s="689" customFormat="1" ht="16.149999999999999" customHeight="1" x14ac:dyDescent="0.25">
      <c r="B238" s="837" t="s">
        <v>1473</v>
      </c>
      <c r="C238" s="778"/>
      <c r="D238" s="761"/>
      <c r="E238" s="952" t="s">
        <v>1584</v>
      </c>
      <c r="F238" s="690"/>
      <c r="G238" s="697"/>
      <c r="H238" s="697"/>
      <c r="I238" s="697"/>
      <c r="J238" s="697"/>
      <c r="K238" s="697"/>
    </row>
    <row r="239" spans="2:11" s="689" customFormat="1" ht="16.149999999999999" customHeight="1" x14ac:dyDescent="0.25">
      <c r="B239" s="837" t="s">
        <v>1474</v>
      </c>
      <c r="C239" s="778"/>
      <c r="D239" s="761"/>
      <c r="E239" s="953"/>
      <c r="F239" s="690"/>
      <c r="G239" s="697"/>
      <c r="H239" s="697"/>
      <c r="I239" s="697"/>
      <c r="J239" s="697"/>
      <c r="K239" s="697"/>
    </row>
    <row r="240" spans="2:11" s="689" customFormat="1" ht="16.149999999999999" customHeight="1" x14ac:dyDescent="0.25">
      <c r="B240" s="837" t="s">
        <v>1475</v>
      </c>
      <c r="C240" s="778"/>
      <c r="D240" s="761"/>
      <c r="E240" s="953"/>
      <c r="F240" s="690"/>
      <c r="G240" s="697"/>
      <c r="H240" s="697"/>
      <c r="I240" s="697"/>
      <c r="J240" s="697"/>
      <c r="K240" s="697"/>
    </row>
    <row r="241" spans="2:11" s="689" customFormat="1" ht="16.149999999999999" customHeight="1" x14ac:dyDescent="0.25">
      <c r="B241" s="837" t="s">
        <v>1476</v>
      </c>
      <c r="C241" s="778"/>
      <c r="D241" s="761"/>
      <c r="E241" s="953"/>
      <c r="F241" s="690"/>
      <c r="G241" s="697"/>
      <c r="H241" s="697"/>
      <c r="I241" s="697"/>
      <c r="J241" s="697"/>
      <c r="K241" s="697"/>
    </row>
    <row r="242" spans="2:11" s="689" customFormat="1" ht="16.149999999999999" customHeight="1" x14ac:dyDescent="0.25">
      <c r="B242" s="837" t="s">
        <v>1477</v>
      </c>
      <c r="C242" s="778"/>
      <c r="D242" s="761"/>
      <c r="E242" s="957"/>
      <c r="F242" s="690"/>
      <c r="G242" s="697"/>
      <c r="H242" s="697"/>
      <c r="I242" s="697"/>
      <c r="J242" s="697"/>
      <c r="K242" s="697"/>
    </row>
    <row r="243" spans="2:11" s="689" customFormat="1" x14ac:dyDescent="0.25">
      <c r="C243" s="841"/>
      <c r="D243" s="751"/>
      <c r="G243" s="697"/>
      <c r="H243" s="697"/>
      <c r="I243" s="697"/>
      <c r="J243" s="697"/>
      <c r="K243" s="697"/>
    </row>
    <row r="244" spans="2:11" ht="31.9" customHeight="1" x14ac:dyDescent="0.25">
      <c r="B244" s="834" t="s">
        <v>1621</v>
      </c>
      <c r="C244" s="842"/>
      <c r="D244" s="802"/>
      <c r="E244" s="805" t="s">
        <v>1587</v>
      </c>
      <c r="F244" s="839"/>
    </row>
    <row r="245" spans="2:11" s="689" customFormat="1" ht="16.149999999999999" customHeight="1" x14ac:dyDescent="0.25">
      <c r="B245" s="847" t="s">
        <v>1622</v>
      </c>
      <c r="C245" s="836"/>
      <c r="D245" s="857"/>
      <c r="E245" s="923"/>
      <c r="F245" s="793" t="s">
        <v>1278</v>
      </c>
      <c r="G245" s="697"/>
      <c r="H245" s="697"/>
      <c r="I245" s="697"/>
      <c r="J245" s="697"/>
      <c r="K245" s="697"/>
    </row>
    <row r="246" spans="2:11" s="689" customFormat="1" ht="16.149999999999999" customHeight="1" x14ac:dyDescent="0.25">
      <c r="B246" s="837" t="s">
        <v>1473</v>
      </c>
      <c r="C246" s="778"/>
      <c r="D246" s="761"/>
      <c r="E246" s="952" t="s">
        <v>1588</v>
      </c>
      <c r="F246" s="793"/>
      <c r="G246" s="697"/>
      <c r="H246" s="697"/>
      <c r="I246" s="697"/>
      <c r="J246" s="697"/>
      <c r="K246" s="697"/>
    </row>
    <row r="247" spans="2:11" s="689" customFormat="1" ht="16.149999999999999" customHeight="1" x14ac:dyDescent="0.25">
      <c r="B247" s="837" t="s">
        <v>1474</v>
      </c>
      <c r="C247" s="778"/>
      <c r="D247" s="761"/>
      <c r="E247" s="953"/>
      <c r="F247" s="793"/>
      <c r="G247" s="697"/>
      <c r="H247" s="697"/>
      <c r="I247" s="697"/>
      <c r="J247" s="697"/>
      <c r="K247" s="697"/>
    </row>
    <row r="248" spans="2:11" s="689" customFormat="1" ht="16.149999999999999" customHeight="1" x14ac:dyDescent="0.25">
      <c r="B248" s="837" t="s">
        <v>1475</v>
      </c>
      <c r="C248" s="778"/>
      <c r="D248" s="761"/>
      <c r="E248" s="953"/>
      <c r="F248" s="793"/>
      <c r="G248" s="697"/>
      <c r="H248" s="697"/>
      <c r="I248" s="697"/>
      <c r="J248" s="697"/>
      <c r="K248" s="697"/>
    </row>
    <row r="249" spans="2:11" s="689" customFormat="1" ht="16.149999999999999" customHeight="1" x14ac:dyDescent="0.25">
      <c r="B249" s="837" t="s">
        <v>1476</v>
      </c>
      <c r="C249" s="778"/>
      <c r="D249" s="761"/>
      <c r="E249" s="953"/>
      <c r="F249" s="793"/>
      <c r="G249" s="697"/>
      <c r="H249" s="697"/>
      <c r="I249" s="697"/>
      <c r="J249" s="697"/>
      <c r="K249" s="697"/>
    </row>
    <row r="250" spans="2:11" s="689" customFormat="1" ht="16.149999999999999" customHeight="1" x14ac:dyDescent="0.25">
      <c r="B250" s="837" t="s">
        <v>1477</v>
      </c>
      <c r="C250" s="778"/>
      <c r="D250" s="761"/>
      <c r="E250" s="957"/>
      <c r="F250" s="793"/>
      <c r="G250" s="697"/>
      <c r="H250" s="697"/>
      <c r="I250" s="697"/>
      <c r="J250" s="697"/>
      <c r="K250" s="697"/>
    </row>
    <row r="251" spans="2:11" s="689" customFormat="1" x14ac:dyDescent="0.25">
      <c r="C251" s="841"/>
      <c r="D251" s="751"/>
      <c r="G251" s="697"/>
      <c r="H251" s="697"/>
      <c r="I251" s="697"/>
      <c r="J251" s="697"/>
      <c r="K251" s="697"/>
    </row>
    <row r="252" spans="2:11" x14ac:dyDescent="0.25">
      <c r="B252" s="834" t="s">
        <v>1623</v>
      </c>
      <c r="C252" s="842"/>
      <c r="D252" s="802"/>
      <c r="E252" s="805" t="s">
        <v>1589</v>
      </c>
      <c r="F252" s="839"/>
    </row>
    <row r="253" spans="2:11" s="689" customFormat="1" ht="31.9" customHeight="1" x14ac:dyDescent="0.25">
      <c r="B253" s="847" t="s">
        <v>1685</v>
      </c>
      <c r="C253" s="778"/>
      <c r="D253" s="912"/>
      <c r="E253" s="762" t="s">
        <v>1590</v>
      </c>
      <c r="F253" s="690" t="s">
        <v>934</v>
      </c>
      <c r="G253" s="697"/>
      <c r="H253" s="697"/>
      <c r="I253" s="697"/>
      <c r="J253" s="697"/>
      <c r="K253" s="697"/>
    </row>
    <row r="254" spans="2:11" s="689" customFormat="1" ht="16.149999999999999" customHeight="1" x14ac:dyDescent="0.25">
      <c r="B254" s="847" t="s">
        <v>1624</v>
      </c>
      <c r="C254" s="836"/>
      <c r="D254" s="857"/>
      <c r="F254" s="690"/>
      <c r="G254" s="697"/>
      <c r="H254" s="697"/>
      <c r="I254" s="697"/>
      <c r="J254" s="697"/>
      <c r="K254" s="697"/>
    </row>
    <row r="255" spans="2:11" s="689" customFormat="1" ht="16.149999999999999" customHeight="1" x14ac:dyDescent="0.25">
      <c r="B255" s="837" t="s">
        <v>1473</v>
      </c>
      <c r="C255" s="778"/>
      <c r="D255" s="761"/>
      <c r="E255" s="952" t="s">
        <v>1584</v>
      </c>
      <c r="F255" s="690"/>
      <c r="G255" s="697"/>
      <c r="H255" s="697"/>
      <c r="I255" s="697"/>
      <c r="J255" s="697"/>
      <c r="K255" s="697"/>
    </row>
    <row r="256" spans="2:11" s="689" customFormat="1" ht="16.149999999999999" customHeight="1" x14ac:dyDescent="0.25">
      <c r="B256" s="837" t="s">
        <v>1474</v>
      </c>
      <c r="C256" s="778"/>
      <c r="D256" s="761"/>
      <c r="E256" s="953"/>
      <c r="F256" s="690"/>
      <c r="G256" s="697"/>
      <c r="H256" s="697"/>
      <c r="I256" s="697"/>
      <c r="J256" s="697"/>
      <c r="K256" s="697"/>
    </row>
    <row r="257" spans="2:11" s="689" customFormat="1" ht="16.149999999999999" customHeight="1" x14ac:dyDescent="0.25">
      <c r="B257" s="837" t="s">
        <v>1475</v>
      </c>
      <c r="C257" s="778"/>
      <c r="D257" s="761"/>
      <c r="E257" s="953"/>
      <c r="F257" s="690"/>
      <c r="G257" s="697"/>
      <c r="H257" s="697"/>
      <c r="I257" s="697"/>
      <c r="J257" s="697"/>
      <c r="K257" s="697"/>
    </row>
    <row r="258" spans="2:11" s="689" customFormat="1" ht="16.149999999999999" customHeight="1" x14ac:dyDescent="0.25">
      <c r="B258" s="837" t="s">
        <v>1476</v>
      </c>
      <c r="C258" s="778"/>
      <c r="D258" s="761"/>
      <c r="E258" s="953"/>
      <c r="F258" s="690"/>
      <c r="G258" s="697"/>
      <c r="H258" s="697"/>
      <c r="I258" s="697"/>
      <c r="J258" s="697"/>
      <c r="K258" s="697"/>
    </row>
    <row r="259" spans="2:11" s="689" customFormat="1" ht="16.149999999999999" customHeight="1" x14ac:dyDescent="0.25">
      <c r="B259" s="837" t="s">
        <v>1477</v>
      </c>
      <c r="C259" s="778"/>
      <c r="D259" s="761"/>
      <c r="E259" s="957"/>
      <c r="F259" s="690"/>
      <c r="G259" s="697"/>
      <c r="H259" s="697"/>
      <c r="I259" s="697"/>
      <c r="J259" s="697"/>
      <c r="K259" s="697"/>
    </row>
    <row r="260" spans="2:11" s="689" customFormat="1" x14ac:dyDescent="0.25">
      <c r="C260" s="841"/>
      <c r="D260" s="751"/>
      <c r="G260" s="697"/>
      <c r="H260" s="697"/>
      <c r="I260" s="697"/>
      <c r="J260" s="697"/>
      <c r="K260" s="697"/>
    </row>
    <row r="261" spans="2:11" ht="31.9" customHeight="1" x14ac:dyDescent="0.25">
      <c r="B261" s="834" t="s">
        <v>1625</v>
      </c>
      <c r="C261" s="842"/>
      <c r="D261" s="802"/>
      <c r="E261" s="924" t="s">
        <v>1591</v>
      </c>
      <c r="F261" s="839"/>
    </row>
    <row r="262" spans="2:11" s="689" customFormat="1" ht="16.149999999999999" customHeight="1" x14ac:dyDescent="0.25">
      <c r="B262" s="847" t="s">
        <v>1626</v>
      </c>
      <c r="C262" s="836"/>
      <c r="D262" s="857"/>
      <c r="F262" s="793" t="s">
        <v>1278</v>
      </c>
      <c r="G262" s="697"/>
      <c r="H262" s="697"/>
      <c r="I262" s="697"/>
      <c r="J262" s="697"/>
      <c r="K262" s="697"/>
    </row>
    <row r="263" spans="2:11" s="689" customFormat="1" ht="16.149999999999999" customHeight="1" x14ac:dyDescent="0.25">
      <c r="B263" s="837" t="s">
        <v>1473</v>
      </c>
      <c r="C263" s="778"/>
      <c r="D263" s="761"/>
      <c r="E263" s="952" t="s">
        <v>1592</v>
      </c>
      <c r="F263" s="793"/>
      <c r="G263" s="697"/>
      <c r="H263" s="869"/>
      <c r="I263" s="697"/>
      <c r="J263" s="697"/>
      <c r="K263" s="697"/>
    </row>
    <row r="264" spans="2:11" s="689" customFormat="1" ht="16.149999999999999" customHeight="1" x14ac:dyDescent="0.25">
      <c r="B264" s="837" t="s">
        <v>1474</v>
      </c>
      <c r="C264" s="778"/>
      <c r="D264" s="761"/>
      <c r="E264" s="953"/>
      <c r="F264" s="793"/>
      <c r="G264" s="697"/>
      <c r="H264" s="697"/>
      <c r="I264" s="697"/>
      <c r="J264" s="697"/>
      <c r="K264" s="697"/>
    </row>
    <row r="265" spans="2:11" s="689" customFormat="1" ht="16.149999999999999" customHeight="1" x14ac:dyDescent="0.25">
      <c r="B265" s="837" t="s">
        <v>1475</v>
      </c>
      <c r="C265" s="778"/>
      <c r="D265" s="761"/>
      <c r="E265" s="953"/>
      <c r="F265" s="793"/>
      <c r="G265" s="697"/>
      <c r="H265" s="697"/>
      <c r="I265" s="697"/>
      <c r="J265" s="697"/>
      <c r="K265" s="697"/>
    </row>
    <row r="266" spans="2:11" s="689" customFormat="1" ht="16.149999999999999" customHeight="1" x14ac:dyDescent="0.25">
      <c r="B266" s="837" t="s">
        <v>1476</v>
      </c>
      <c r="C266" s="778"/>
      <c r="D266" s="761"/>
      <c r="E266" s="953"/>
      <c r="F266" s="793"/>
      <c r="G266" s="697"/>
      <c r="H266" s="697"/>
      <c r="I266" s="697"/>
      <c r="J266" s="697"/>
      <c r="K266" s="697"/>
    </row>
    <row r="267" spans="2:11" s="689" customFormat="1" ht="16.149999999999999" customHeight="1" x14ac:dyDescent="0.25">
      <c r="B267" s="837" t="s">
        <v>1477</v>
      </c>
      <c r="C267" s="778"/>
      <c r="D267" s="761"/>
      <c r="E267" s="957"/>
      <c r="F267" s="793"/>
      <c r="G267" s="697"/>
      <c r="H267" s="697"/>
      <c r="I267" s="697"/>
      <c r="J267" s="697"/>
      <c r="K267" s="697"/>
    </row>
    <row r="268" spans="2:11" s="689" customFormat="1" x14ac:dyDescent="0.25">
      <c r="C268" s="841"/>
      <c r="D268" s="751"/>
      <c r="G268" s="697"/>
      <c r="H268" s="697"/>
      <c r="I268" s="697"/>
      <c r="J268" s="697"/>
      <c r="K268" s="697"/>
    </row>
    <row r="269" spans="2:11" ht="31.9" customHeight="1" x14ac:dyDescent="0.25">
      <c r="B269" s="834" t="s">
        <v>1627</v>
      </c>
      <c r="C269" s="842"/>
      <c r="D269" s="802"/>
      <c r="E269" s="805" t="s">
        <v>1593</v>
      </c>
      <c r="F269" s="839"/>
    </row>
    <row r="270" spans="2:11" s="689" customFormat="1" ht="31.9" customHeight="1" x14ac:dyDescent="0.25">
      <c r="B270" s="847" t="s">
        <v>1628</v>
      </c>
      <c r="C270" s="778"/>
      <c r="D270" s="912"/>
      <c r="E270" s="762" t="s">
        <v>1594</v>
      </c>
      <c r="F270" s="690" t="s">
        <v>934</v>
      </c>
      <c r="G270" s="697"/>
      <c r="H270" s="697"/>
      <c r="I270" s="697"/>
      <c r="J270" s="697"/>
      <c r="K270" s="697"/>
    </row>
    <row r="271" spans="2:11" s="689" customFormat="1" ht="16.149999999999999" customHeight="1" x14ac:dyDescent="0.25">
      <c r="B271" s="847" t="s">
        <v>1629</v>
      </c>
      <c r="C271" s="836"/>
      <c r="D271" s="857"/>
      <c r="F271" s="690" t="s">
        <v>936</v>
      </c>
      <c r="G271" s="697"/>
      <c r="H271" s="697"/>
      <c r="I271" s="697"/>
      <c r="J271" s="697"/>
      <c r="K271" s="697"/>
    </row>
    <row r="272" spans="2:11" s="689" customFormat="1" ht="16.149999999999999" customHeight="1" x14ac:dyDescent="0.25">
      <c r="B272" s="837" t="s">
        <v>1473</v>
      </c>
      <c r="C272" s="778"/>
      <c r="D272" s="907"/>
      <c r="E272" s="952" t="s">
        <v>1584</v>
      </c>
      <c r="F272" s="690"/>
      <c r="G272" s="697"/>
      <c r="H272" s="697"/>
      <c r="I272" s="697"/>
      <c r="J272" s="697"/>
      <c r="K272" s="697"/>
    </row>
    <row r="273" spans="2:11" s="689" customFormat="1" ht="16.149999999999999" customHeight="1" x14ac:dyDescent="0.25">
      <c r="B273" s="837" t="s">
        <v>1474</v>
      </c>
      <c r="C273" s="778"/>
      <c r="D273" s="907"/>
      <c r="E273" s="953"/>
      <c r="F273" s="690"/>
      <c r="G273" s="697"/>
      <c r="H273" s="697"/>
      <c r="I273" s="697"/>
      <c r="J273" s="697"/>
      <c r="K273" s="697"/>
    </row>
    <row r="274" spans="2:11" s="689" customFormat="1" ht="16.149999999999999" customHeight="1" x14ac:dyDescent="0.25">
      <c r="B274" s="837" t="s">
        <v>1475</v>
      </c>
      <c r="C274" s="778"/>
      <c r="D274" s="907"/>
      <c r="E274" s="953"/>
      <c r="F274" s="690"/>
      <c r="G274" s="697"/>
      <c r="H274" s="697"/>
      <c r="I274" s="697"/>
      <c r="J274" s="697"/>
      <c r="K274" s="697"/>
    </row>
    <row r="275" spans="2:11" s="689" customFormat="1" ht="16.149999999999999" customHeight="1" x14ac:dyDescent="0.25">
      <c r="B275" s="837" t="s">
        <v>1476</v>
      </c>
      <c r="C275" s="778"/>
      <c r="D275" s="907"/>
      <c r="E275" s="953"/>
      <c r="F275" s="690"/>
      <c r="G275" s="697"/>
      <c r="H275" s="697"/>
      <c r="I275" s="697"/>
      <c r="J275" s="697"/>
      <c r="K275" s="697"/>
    </row>
    <row r="276" spans="2:11" s="689" customFormat="1" ht="16.149999999999999" customHeight="1" x14ac:dyDescent="0.25">
      <c r="B276" s="837" t="s">
        <v>1477</v>
      </c>
      <c r="C276" s="778"/>
      <c r="D276" s="907"/>
      <c r="E276" s="957"/>
      <c r="F276" s="690"/>
      <c r="G276" s="697"/>
      <c r="H276" s="697"/>
      <c r="I276" s="697"/>
      <c r="J276" s="697"/>
      <c r="K276" s="697"/>
    </row>
    <row r="277" spans="2:11" s="689" customFormat="1" x14ac:dyDescent="0.25">
      <c r="C277" s="841"/>
      <c r="D277" s="751"/>
      <c r="G277" s="697"/>
      <c r="H277" s="697"/>
      <c r="I277" s="697"/>
      <c r="J277" s="697"/>
      <c r="K277" s="697"/>
    </row>
    <row r="278" spans="2:11" x14ac:dyDescent="0.25">
      <c r="B278" s="834" t="s">
        <v>1630</v>
      </c>
      <c r="C278" s="842"/>
      <c r="D278" s="802"/>
      <c r="E278" s="805" t="s">
        <v>1819</v>
      </c>
      <c r="F278" s="839"/>
    </row>
    <row r="279" spans="2:11" s="689" customFormat="1" ht="64.150000000000006" customHeight="1" x14ac:dyDescent="0.25">
      <c r="B279" s="847" t="s">
        <v>1686</v>
      </c>
      <c r="C279" s="778"/>
      <c r="D279" s="912"/>
      <c r="E279" s="762" t="s">
        <v>1820</v>
      </c>
      <c r="F279" s="690" t="s">
        <v>934</v>
      </c>
      <c r="G279" s="697"/>
      <c r="H279" s="697"/>
      <c r="I279" s="697"/>
      <c r="J279" s="697"/>
      <c r="K279" s="697"/>
    </row>
    <row r="280" spans="2:11" s="689" customFormat="1" ht="16.149999999999999" customHeight="1" x14ac:dyDescent="0.25">
      <c r="B280" s="847" t="s">
        <v>1687</v>
      </c>
      <c r="C280" s="836"/>
      <c r="D280" s="857"/>
      <c r="F280" s="770"/>
      <c r="G280" s="697"/>
      <c r="H280" s="697"/>
      <c r="I280" s="697"/>
      <c r="J280" s="697"/>
      <c r="K280" s="697"/>
    </row>
    <row r="281" spans="2:11" s="689" customFormat="1" ht="16.149999999999999" customHeight="1" x14ac:dyDescent="0.25">
      <c r="B281" s="837" t="s">
        <v>1473</v>
      </c>
      <c r="C281" s="778"/>
      <c r="D281" s="761"/>
      <c r="E281" s="952" t="s">
        <v>1584</v>
      </c>
      <c r="F281" s="770"/>
      <c r="G281" s="697"/>
      <c r="H281" s="697"/>
      <c r="I281" s="697"/>
      <c r="J281" s="697"/>
      <c r="K281" s="697"/>
    </row>
    <row r="282" spans="2:11" s="689" customFormat="1" ht="16.149999999999999" customHeight="1" x14ac:dyDescent="0.25">
      <c r="B282" s="837" t="s">
        <v>1474</v>
      </c>
      <c r="C282" s="778"/>
      <c r="D282" s="761"/>
      <c r="E282" s="953"/>
      <c r="F282" s="770"/>
      <c r="G282" s="697"/>
      <c r="H282" s="697"/>
      <c r="I282" s="697"/>
      <c r="J282" s="697"/>
      <c r="K282" s="697"/>
    </row>
    <row r="283" spans="2:11" s="689" customFormat="1" ht="16.149999999999999" customHeight="1" x14ac:dyDescent="0.25">
      <c r="B283" s="837" t="s">
        <v>1475</v>
      </c>
      <c r="C283" s="778"/>
      <c r="D283" s="761"/>
      <c r="E283" s="953"/>
      <c r="F283" s="770"/>
      <c r="G283" s="697"/>
      <c r="H283" s="697"/>
      <c r="I283" s="697"/>
      <c r="J283" s="697"/>
      <c r="K283" s="697"/>
    </row>
    <row r="284" spans="2:11" s="689" customFormat="1" ht="16.149999999999999" customHeight="1" x14ac:dyDescent="0.25">
      <c r="B284" s="837" t="s">
        <v>1476</v>
      </c>
      <c r="C284" s="778"/>
      <c r="D284" s="761"/>
      <c r="E284" s="953"/>
      <c r="F284" s="770"/>
      <c r="G284" s="697"/>
      <c r="H284" s="697"/>
      <c r="I284" s="697"/>
      <c r="J284" s="697"/>
      <c r="K284" s="697"/>
    </row>
    <row r="285" spans="2:11" s="689" customFormat="1" ht="16.149999999999999" customHeight="1" x14ac:dyDescent="0.25">
      <c r="B285" s="837" t="s">
        <v>1477</v>
      </c>
      <c r="C285" s="778"/>
      <c r="D285" s="761"/>
      <c r="E285" s="957"/>
      <c r="F285" s="770"/>
      <c r="G285" s="697"/>
      <c r="H285" s="697"/>
      <c r="I285" s="697"/>
      <c r="J285" s="697"/>
      <c r="K285" s="697"/>
    </row>
    <row r="286" spans="2:11" s="689" customFormat="1" x14ac:dyDescent="0.25">
      <c r="C286" s="841"/>
      <c r="D286" s="751"/>
      <c r="G286" s="697"/>
      <c r="H286" s="697"/>
      <c r="I286" s="697"/>
      <c r="J286" s="697"/>
      <c r="K286" s="697"/>
    </row>
    <row r="287" spans="2:11" ht="31.9" customHeight="1" x14ac:dyDescent="0.25">
      <c r="B287" s="834" t="s">
        <v>1631</v>
      </c>
      <c r="C287" s="842"/>
      <c r="D287" s="802"/>
      <c r="E287" s="805" t="s">
        <v>1595</v>
      </c>
      <c r="F287" s="839"/>
    </row>
    <row r="288" spans="2:11" s="689" customFormat="1" ht="31.9" customHeight="1" x14ac:dyDescent="0.25">
      <c r="B288" s="847" t="s">
        <v>1632</v>
      </c>
      <c r="C288" s="778"/>
      <c r="D288" s="922"/>
      <c r="E288" s="762" t="s">
        <v>1596</v>
      </c>
      <c r="F288" s="690" t="s">
        <v>934</v>
      </c>
      <c r="G288" s="697"/>
      <c r="H288" s="697"/>
      <c r="I288" s="697"/>
      <c r="J288" s="697"/>
      <c r="K288" s="697"/>
    </row>
    <row r="289" spans="2:11" s="689" customFormat="1" ht="16.149999999999999" customHeight="1" x14ac:dyDescent="0.25">
      <c r="B289" s="847" t="s">
        <v>1633</v>
      </c>
      <c r="C289" s="836"/>
      <c r="D289" s="857"/>
      <c r="F289" s="690" t="s">
        <v>936</v>
      </c>
      <c r="G289" s="697"/>
      <c r="H289" s="697"/>
      <c r="I289" s="697"/>
      <c r="J289" s="697"/>
      <c r="K289" s="697"/>
    </row>
    <row r="290" spans="2:11" s="689" customFormat="1" ht="16.149999999999999" customHeight="1" x14ac:dyDescent="0.25">
      <c r="B290" s="837" t="s">
        <v>1473</v>
      </c>
      <c r="C290" s="778"/>
      <c r="D290" s="907"/>
      <c r="E290" s="952" t="s">
        <v>1584</v>
      </c>
      <c r="F290" s="690"/>
      <c r="G290" s="697"/>
      <c r="H290" s="697"/>
      <c r="I290" s="697"/>
      <c r="J290" s="697"/>
      <c r="K290" s="697"/>
    </row>
    <row r="291" spans="2:11" s="689" customFormat="1" ht="16.149999999999999" customHeight="1" x14ac:dyDescent="0.25">
      <c r="B291" s="837" t="s">
        <v>1474</v>
      </c>
      <c r="C291" s="778"/>
      <c r="D291" s="907"/>
      <c r="E291" s="953"/>
      <c r="F291" s="690"/>
      <c r="G291" s="697"/>
      <c r="H291" s="697"/>
      <c r="I291" s="697"/>
      <c r="J291" s="697"/>
      <c r="K291" s="697"/>
    </row>
    <row r="292" spans="2:11" s="689" customFormat="1" ht="16.149999999999999" customHeight="1" x14ac:dyDescent="0.25">
      <c r="B292" s="837" t="s">
        <v>1475</v>
      </c>
      <c r="C292" s="778"/>
      <c r="D292" s="907"/>
      <c r="E292" s="953"/>
      <c r="F292" s="690"/>
      <c r="G292" s="697"/>
      <c r="H292" s="697"/>
      <c r="I292" s="697"/>
      <c r="J292" s="697"/>
      <c r="K292" s="697"/>
    </row>
    <row r="293" spans="2:11" s="689" customFormat="1" ht="16.149999999999999" customHeight="1" x14ac:dyDescent="0.25">
      <c r="B293" s="837" t="s">
        <v>1476</v>
      </c>
      <c r="C293" s="778"/>
      <c r="D293" s="907"/>
      <c r="E293" s="953"/>
      <c r="F293" s="690"/>
      <c r="G293" s="697"/>
      <c r="H293" s="697"/>
      <c r="I293" s="697"/>
      <c r="J293" s="697"/>
      <c r="K293" s="697"/>
    </row>
    <row r="294" spans="2:11" s="689" customFormat="1" ht="16.149999999999999" customHeight="1" x14ac:dyDescent="0.25">
      <c r="B294" s="837" t="s">
        <v>1477</v>
      </c>
      <c r="C294" s="778"/>
      <c r="D294" s="907"/>
      <c r="E294" s="957"/>
      <c r="F294" s="690"/>
      <c r="G294" s="697"/>
      <c r="H294" s="697"/>
      <c r="I294" s="697"/>
      <c r="J294" s="697"/>
      <c r="K294" s="697"/>
    </row>
    <row r="295" spans="2:11" s="689" customFormat="1" x14ac:dyDescent="0.25">
      <c r="C295" s="751"/>
      <c r="D295" s="751"/>
      <c r="G295" s="697"/>
      <c r="H295" s="697"/>
      <c r="I295" s="697"/>
      <c r="J295" s="697"/>
      <c r="K295" s="697"/>
    </row>
    <row r="296" spans="2:11" s="689" customFormat="1" x14ac:dyDescent="0.25">
      <c r="C296" s="751"/>
      <c r="D296" s="751"/>
      <c r="G296" s="697"/>
      <c r="H296" s="697"/>
      <c r="I296" s="697"/>
      <c r="J296" s="697"/>
      <c r="K296" s="697"/>
    </row>
  </sheetData>
  <sheetProtection formatColumns="0" formatRows="0"/>
  <mergeCells count="25">
    <mergeCell ref="B2:E2"/>
    <mergeCell ref="E8:E12"/>
    <mergeCell ref="E95:E99"/>
    <mergeCell ref="E88:E92"/>
    <mergeCell ref="E51:E55"/>
    <mergeCell ref="E58:E62"/>
    <mergeCell ref="E65:E69"/>
    <mergeCell ref="E72:E76"/>
    <mergeCell ref="E44:E48"/>
    <mergeCell ref="E14:E35"/>
    <mergeCell ref="E131:E135"/>
    <mergeCell ref="E229:E233"/>
    <mergeCell ref="E104:E108"/>
    <mergeCell ref="E113:E117"/>
    <mergeCell ref="E190:E194"/>
    <mergeCell ref="E123:E127"/>
    <mergeCell ref="E210:E214"/>
    <mergeCell ref="E203:E207"/>
    <mergeCell ref="E272:E276"/>
    <mergeCell ref="E238:E242"/>
    <mergeCell ref="E246:E250"/>
    <mergeCell ref="E255:E259"/>
    <mergeCell ref="E290:E294"/>
    <mergeCell ref="E281:E285"/>
    <mergeCell ref="E263:E267"/>
  </mergeCells>
  <phoneticPr fontId="97" type="noConversion"/>
  <conditionalFormatting sqref="B139:B143">
    <cfRule type="expression" dxfId="57" priority="1">
      <formula>$C$120&lt;&gt;"Classroom-based training"</formula>
    </cfRule>
  </conditionalFormatting>
  <conditionalFormatting sqref="C139:C143">
    <cfRule type="expression" dxfId="56" priority="6" stopIfTrue="1">
      <formula>$C$120&lt;&gt;"Classroom-based training"</formula>
    </cfRule>
  </conditionalFormatting>
  <dataValidations disablePrompts="1" count="2">
    <dataValidation allowBlank="1" sqref="C237:C242 C254:C259 C271:C276 C289:C294 C280:C285" xr:uid="{00000000-0002-0000-0700-000000000000}"/>
    <dataValidation type="whole" allowBlank="1" showInputMessage="1" showErrorMessage="1" error="Entry must be a whole number. " sqref="C87:C99 C15:C20 C22:C76" xr:uid="{00000000-0002-0000-0700-000001000000}">
      <formula1>0</formula1>
      <formula2>10000000</formula2>
    </dataValidation>
  </dataValidations>
  <hyperlinks>
    <hyperlink ref="F8" r:id="rId1" xr:uid="{00000000-0004-0000-0700-000000000000}"/>
    <hyperlink ref="F43" r:id="rId2" xr:uid="{00000000-0004-0000-0700-000001000000}"/>
    <hyperlink ref="F79" r:id="rId3" xr:uid="{00000000-0004-0000-0700-000002000000}"/>
    <hyperlink ref="F87" r:id="rId4" xr:uid="{00000000-0004-0000-0700-000003000000}"/>
    <hyperlink ref="F112" r:id="rId5" xr:uid="{00000000-0004-0000-0700-000004000000}"/>
    <hyperlink ref="F120" r:id="rId6" xr:uid="{00000000-0004-0000-0700-000005000000}"/>
    <hyperlink ref="F188" r:id="rId7" xr:uid="{00000000-0004-0000-0700-000006000000}"/>
    <hyperlink ref="F227" r:id="rId8" xr:uid="{00000000-0004-0000-0700-000007000000}"/>
    <hyperlink ref="F228" r:id="rId9" xr:uid="{00000000-0004-0000-0700-000008000000}"/>
    <hyperlink ref="F236" r:id="rId10" xr:uid="{00000000-0004-0000-0700-000009000000}"/>
    <hyperlink ref="F253" r:id="rId11" xr:uid="{00000000-0004-0000-0700-00000A000000}"/>
    <hyperlink ref="F270" r:id="rId12" xr:uid="{00000000-0004-0000-0700-00000B000000}"/>
    <hyperlink ref="F271" r:id="rId13" xr:uid="{00000000-0004-0000-0700-00000C000000}"/>
    <hyperlink ref="F279" r:id="rId14" xr:uid="{00000000-0004-0000-0700-00000D000000}"/>
    <hyperlink ref="F288" r:id="rId15" xr:uid="{00000000-0004-0000-0700-00000E000000}"/>
    <hyperlink ref="F289" r:id="rId16" xr:uid="{00000000-0004-0000-0700-00000F000000}"/>
    <hyperlink ref="F187" r:id="rId17" xr:uid="{00000000-0004-0000-0700-000010000000}"/>
    <hyperlink ref="B1" location="Menu!D11" tooltip="Menu" display="&lt;&lt; Menu" xr:uid="{00000000-0004-0000-0700-000011000000}"/>
  </hyperlinks>
  <pageMargins left="0.7" right="0.7" top="0.75" bottom="0.75" header="0.3" footer="0.3"/>
  <pageSetup orientation="portrait" r:id="rId18"/>
  <drawing r:id="rId19"/>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2000000}">
          <x14:formula1>
            <xm:f>Sheet15!$A$1:$A$3</xm:f>
          </x14:formula1>
          <xm:sqref>C120:C121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563C1"/>
    <pageSetUpPr fitToPage="1"/>
  </sheetPr>
  <dimension ref="B1:J38"/>
  <sheetViews>
    <sheetView zoomScale="80" zoomScaleNormal="80" workbookViewId="0">
      <selection activeCell="K31" sqref="K31"/>
    </sheetView>
  </sheetViews>
  <sheetFormatPr defaultColWidth="8.7109375" defaultRowHeight="15" x14ac:dyDescent="0.25"/>
  <cols>
    <col min="1" max="1" width="2.28515625" style="689" customWidth="1"/>
    <col min="2" max="2" width="46.28515625" style="689" bestFit="1" customWidth="1"/>
    <col min="3" max="8" width="14.28515625" style="689" customWidth="1"/>
    <col min="9" max="9" width="8.7109375" style="689" customWidth="1"/>
    <col min="10" max="10" width="151.28515625" style="689" hidden="1" customWidth="1"/>
    <col min="11" max="16384" width="8.7109375" style="689"/>
  </cols>
  <sheetData>
    <row r="1" spans="2:10" ht="15" customHeight="1" x14ac:dyDescent="0.25">
      <c r="B1" s="940" t="s">
        <v>1380</v>
      </c>
    </row>
    <row r="2" spans="2:10" ht="31.9" customHeight="1" x14ac:dyDescent="0.25">
      <c r="B2" s="954" t="s">
        <v>1680</v>
      </c>
      <c r="C2" s="955"/>
      <c r="D2" s="955"/>
      <c r="E2" s="955"/>
      <c r="F2" s="955"/>
      <c r="G2" s="955"/>
      <c r="H2" s="956"/>
      <c r="I2" s="925"/>
    </row>
    <row r="3" spans="2:10" ht="15" customHeight="1" thickBot="1" x14ac:dyDescent="0.3">
      <c r="B3" s="708"/>
      <c r="C3" s="708"/>
      <c r="D3" s="708"/>
      <c r="E3" s="708"/>
      <c r="F3" s="708"/>
      <c r="G3" s="708"/>
      <c r="H3" s="708"/>
      <c r="I3" s="708"/>
    </row>
    <row r="4" spans="2:10" ht="15.75" thickBot="1" x14ac:dyDescent="0.3">
      <c r="B4" s="709" t="e">
        <f>IF('Ambito de Implementação'!C8=1, "Currency = US Dollar", "Currency =" &amp; " " &amp;VLOOKUP('Ambito de Implementação'!C7,Table1[#All],3))</f>
        <v>#N/A</v>
      </c>
      <c r="C4" s="708"/>
      <c r="D4" s="708"/>
      <c r="E4" s="708"/>
      <c r="F4" s="708"/>
      <c r="G4" s="708"/>
      <c r="H4" s="708"/>
      <c r="I4" s="708"/>
    </row>
    <row r="5" spans="2:10" ht="18.75" x14ac:dyDescent="0.25">
      <c r="C5" s="961" t="s">
        <v>1679</v>
      </c>
      <c r="D5" s="961"/>
      <c r="E5" s="961"/>
      <c r="F5" s="961"/>
      <c r="G5" s="961"/>
    </row>
    <row r="6" spans="2:10" x14ac:dyDescent="0.25">
      <c r="B6" s="710" t="s">
        <v>1634</v>
      </c>
      <c r="C6" s="926" t="s">
        <v>1635</v>
      </c>
      <c r="D6" s="926" t="s">
        <v>1636</v>
      </c>
      <c r="E6" s="926" t="s">
        <v>1475</v>
      </c>
      <c r="F6" s="926" t="s">
        <v>1476</v>
      </c>
      <c r="G6" s="926" t="s">
        <v>1477</v>
      </c>
      <c r="H6" s="926" t="s">
        <v>1637</v>
      </c>
      <c r="J6" s="927" t="s">
        <v>940</v>
      </c>
    </row>
    <row r="7" spans="2:10" x14ac:dyDescent="0.25">
      <c r="B7" s="728" t="s">
        <v>1638</v>
      </c>
      <c r="C7" s="728"/>
      <c r="D7" s="728"/>
      <c r="E7" s="728"/>
      <c r="F7" s="728"/>
      <c r="G7" s="728"/>
      <c r="H7" s="728"/>
      <c r="J7" s="928" t="s">
        <v>1357</v>
      </c>
    </row>
    <row r="8" spans="2:10" ht="30" x14ac:dyDescent="0.25">
      <c r="B8" s="689" t="s">
        <v>1623</v>
      </c>
      <c r="C8" s="929">
        <f>IF('Custos de Desenvolvimento'!$C$7="Yes",SUM('Custos de Desenvolvimento'!C12,'Custos de Desenvolvimento'!C14,'Custos de Desenvolvimento'!C15,'Custos de Desenvolvimento'!C16),0)</f>
        <v>0</v>
      </c>
      <c r="D8" s="929"/>
      <c r="E8" s="929"/>
      <c r="F8" s="929"/>
      <c r="G8" s="929"/>
      <c r="H8" s="929">
        <f>SUM(C8:G8)</f>
        <v>0</v>
      </c>
      <c r="J8" s="930" t="s">
        <v>1371</v>
      </c>
    </row>
    <row r="9" spans="2:10" ht="30" x14ac:dyDescent="0.25">
      <c r="B9" s="689" t="s">
        <v>1639</v>
      </c>
      <c r="C9" s="929">
        <f>IF('Custos de Desenvolvimento'!$C$7="Yes",SUM('Custos de Desenvolvimento'!C21,'Custos de Desenvolvimento'!C23),0)</f>
        <v>0</v>
      </c>
      <c r="D9" s="929"/>
      <c r="E9" s="929"/>
      <c r="F9" s="929"/>
      <c r="G9" s="929"/>
      <c r="H9" s="929">
        <f>SUM(C9:G9)</f>
        <v>0</v>
      </c>
      <c r="J9" s="930" t="s">
        <v>941</v>
      </c>
    </row>
    <row r="10" spans="2:10" ht="15.75" thickBot="1" x14ac:dyDescent="0.3">
      <c r="B10" s="733" t="s">
        <v>1640</v>
      </c>
      <c r="C10" s="931">
        <f>IF('Custos de Desenvolvimento'!$C$7="Yes",'Custos de Desenvolvimento'!C28,0)</f>
        <v>0</v>
      </c>
      <c r="D10" s="931"/>
      <c r="E10" s="931"/>
      <c r="F10" s="931"/>
      <c r="G10" s="931"/>
      <c r="H10" s="931">
        <f>SUM(C10:G10)</f>
        <v>0</v>
      </c>
      <c r="J10" s="930" t="s">
        <v>949</v>
      </c>
    </row>
    <row r="11" spans="2:10" ht="15.75" thickTop="1" x14ac:dyDescent="0.25">
      <c r="B11" s="735" t="s">
        <v>628</v>
      </c>
      <c r="C11" s="929">
        <f t="shared" ref="C11:H11" si="0">SUM(C8:C10)</f>
        <v>0</v>
      </c>
      <c r="D11" s="929">
        <f t="shared" si="0"/>
        <v>0</v>
      </c>
      <c r="E11" s="929">
        <f t="shared" si="0"/>
        <v>0</v>
      </c>
      <c r="F11" s="929">
        <f t="shared" si="0"/>
        <v>0</v>
      </c>
      <c r="G11" s="929">
        <f t="shared" si="0"/>
        <v>0</v>
      </c>
      <c r="H11" s="929">
        <f t="shared" si="0"/>
        <v>0</v>
      </c>
      <c r="J11" s="930"/>
    </row>
    <row r="12" spans="2:10" x14ac:dyDescent="0.25">
      <c r="B12" s="731" t="s">
        <v>1641</v>
      </c>
      <c r="C12" s="932"/>
      <c r="D12" s="932"/>
      <c r="E12" s="932"/>
      <c r="F12" s="932"/>
      <c r="G12" s="932"/>
      <c r="H12" s="932"/>
      <c r="J12" s="933" t="s">
        <v>1358</v>
      </c>
    </row>
    <row r="13" spans="2:10" ht="30" x14ac:dyDescent="0.25">
      <c r="B13" s="947" t="s">
        <v>1467</v>
      </c>
      <c r="C13" s="929">
        <f>SUM('Custos de Implantação'!$C$10*'Custos de Implantação'!C12,'Custos de Implantação'!$C$18*'Custos de Implantação'!C20,'Custos de Implantação'!$C$26*'Custos de Implantação'!C28,'Custos de Implantação'!$C$34*'Custos de Implantação'!C36,'Custos de Implantação'!C43)</f>
        <v>0</v>
      </c>
      <c r="D13" s="929">
        <f>SUM('Custos de Implantação'!$C$10*'Custos de Implantação'!C13,'Custos de Implantação'!$C$18*'Custos de Implantação'!C21,'Custos de Implantação'!$C$26*'Custos de Implantação'!C29,'Custos de Implantação'!$C$34*'Custos de Implantação'!C37,'Custos de Implantação'!C44)</f>
        <v>0</v>
      </c>
      <c r="E13" s="929">
        <f>SUM('Custos de Implantação'!$C$10*'Custos de Implantação'!C14,'Custos de Implantação'!$C$18*'Custos de Implantação'!C22,'Custos de Implantação'!$C$26*'Custos de Implantação'!C30,'Custos de Implantação'!$C$34*'Custos de Implantação'!C38,'Custos de Implantação'!C45)</f>
        <v>0</v>
      </c>
      <c r="F13" s="929">
        <f>SUM('Custos de Implantação'!$C$10*'Custos de Implantação'!C15,'Custos de Implantação'!$C$18*'Custos de Implantação'!C23,'Custos de Implantação'!$C$26*'Custos de Implantação'!C31,'Custos de Implantação'!$C$34*'Custos de Implantação'!C39,'Custos de Implantação'!C46)</f>
        <v>0</v>
      </c>
      <c r="G13" s="929">
        <f>SUM('Custos de Implantação'!$C$10*'Custos de Implantação'!C16,'Custos de Implantação'!$C$18*'Custos de Implantação'!C24,'Custos de Implantação'!$C$26*'Custos de Implantação'!C32,'Custos de Implantação'!$C$34*'Custos de Implantação'!C40,'Custos de Implantação'!C47)</f>
        <v>0</v>
      </c>
      <c r="H13" s="929">
        <f t="shared" ref="H13:H19" si="1">SUM(C13:G13)</f>
        <v>0</v>
      </c>
      <c r="J13" s="930" t="s">
        <v>1372</v>
      </c>
    </row>
    <row r="14" spans="2:10" x14ac:dyDescent="0.25">
      <c r="B14" s="947" t="s">
        <v>1485</v>
      </c>
      <c r="C14" s="929">
        <f>SUM('Custos de Implantação'!$C$52*'Custos de Implantação'!C54,'Custos de Implantação'!C61)</f>
        <v>0</v>
      </c>
      <c r="D14" s="929">
        <f>SUM('Custos de Implantação'!$C$52*'Custos de Implantação'!C55,'Custos de Implantação'!C62)</f>
        <v>0</v>
      </c>
      <c r="E14" s="929">
        <f>SUM('Custos de Implantação'!$C$52*'Custos de Implantação'!C56,'Custos de Implantação'!C63)</f>
        <v>0</v>
      </c>
      <c r="F14" s="929">
        <f>SUM('Custos de Implantação'!$C$52*'Custos de Implantação'!C57,'Custos de Implantação'!C64)</f>
        <v>0</v>
      </c>
      <c r="G14" s="929">
        <f>SUM('Custos de Implantação'!$C$52*'Custos de Implantação'!C58,'Custos de Implantação'!C65)</f>
        <v>0</v>
      </c>
      <c r="H14" s="929">
        <f t="shared" si="1"/>
        <v>0</v>
      </c>
      <c r="J14" s="930" t="s">
        <v>942</v>
      </c>
    </row>
    <row r="15" spans="2:10" x14ac:dyDescent="0.25">
      <c r="B15" s="947" t="s">
        <v>1490</v>
      </c>
      <c r="C15" s="929">
        <f>SUM('Custos de Implantação'!$C$68*'Custos de Implantação'!C70,'Custos de Implantação'!C76)</f>
        <v>0</v>
      </c>
      <c r="D15" s="929">
        <f>SUM('Custos de Implantação'!$C$68*'Custos de Implantação'!C71,'Custos de Implantação'!C77)</f>
        <v>0</v>
      </c>
      <c r="E15" s="929">
        <f>SUM('Custos de Implantação'!$C$68*'Custos de Implantação'!C72,'Custos de Implantação'!C78)</f>
        <v>0</v>
      </c>
      <c r="F15" s="929">
        <f>SUM('Custos de Implantação'!$C$68*'Custos de Implantação'!C73,'Custos de Implantação'!C79)</f>
        <v>0</v>
      </c>
      <c r="G15" s="929">
        <f>SUM('Custos de Implantação'!$C$68*'Custos de Implantação'!C74,'Custos de Implantação'!C80)</f>
        <v>0</v>
      </c>
      <c r="H15" s="929">
        <f t="shared" si="1"/>
        <v>0</v>
      </c>
      <c r="J15" s="930" t="s">
        <v>952</v>
      </c>
    </row>
    <row r="16" spans="2:10" x14ac:dyDescent="0.25">
      <c r="B16" s="947" t="s">
        <v>1494</v>
      </c>
      <c r="C16" s="929">
        <f>'Custos de Implantação'!$C$83*'Custos de Implantação'!C85</f>
        <v>0</v>
      </c>
      <c r="D16" s="929">
        <f>'Custos de Implantação'!$C$83*'Custos de Implantação'!C86</f>
        <v>0</v>
      </c>
      <c r="E16" s="929">
        <f>'Custos de Implantação'!$C$83*'Custos de Implantação'!C87</f>
        <v>0</v>
      </c>
      <c r="F16" s="929">
        <f>'Custos de Implantação'!$C$83*'Custos de Implantação'!C88</f>
        <v>0</v>
      </c>
      <c r="G16" s="929">
        <f>'Custos de Implantação'!$C$83*'Custos de Implantação'!C89</f>
        <v>0</v>
      </c>
      <c r="H16" s="929">
        <f t="shared" si="1"/>
        <v>0</v>
      </c>
      <c r="J16" s="930" t="s">
        <v>953</v>
      </c>
    </row>
    <row r="17" spans="2:10" x14ac:dyDescent="0.25">
      <c r="B17" s="947" t="s">
        <v>1497</v>
      </c>
      <c r="C17" s="929">
        <f>'Custos de Implantação'!$C$92*'Custos de Implantação'!C94</f>
        <v>0</v>
      </c>
      <c r="D17" s="929">
        <f>'Custos de Implantação'!$C$92*'Custos de Implantação'!C95</f>
        <v>0</v>
      </c>
      <c r="E17" s="929">
        <f>'Custos de Implantação'!$C$92*'Custos de Implantação'!C96</f>
        <v>0</v>
      </c>
      <c r="F17" s="929">
        <f>'Custos de Implantação'!$C$92*'Custos de Implantação'!C97</f>
        <v>0</v>
      </c>
      <c r="G17" s="929">
        <f>'Custos de Implantação'!$C$92*'Custos de Implantação'!C98</f>
        <v>0</v>
      </c>
      <c r="H17" s="929">
        <f t="shared" si="1"/>
        <v>0</v>
      </c>
      <c r="J17" s="930" t="s">
        <v>954</v>
      </c>
    </row>
    <row r="18" spans="2:10" x14ac:dyDescent="0.25">
      <c r="B18" s="947" t="s">
        <v>1500</v>
      </c>
      <c r="C18" s="929">
        <f>SUM('Custos de Implantação'!$C$101*'Custos de Implantação'!C103,'Custos de Implantação'!C109)</f>
        <v>0</v>
      </c>
      <c r="D18" s="929">
        <f>SUM('Custos de Implantação'!$C$101*'Custos de Implantação'!C104,'Custos de Implantação'!C110)</f>
        <v>0</v>
      </c>
      <c r="E18" s="929">
        <f>SUM('Custos de Implantação'!$C$101*'Custos de Implantação'!C105,'Custos de Implantação'!C111)</f>
        <v>0</v>
      </c>
      <c r="F18" s="929">
        <f>SUM('Custos de Implantação'!$C$101*'Custos de Implantação'!C106,'Custos de Implantação'!C112)</f>
        <v>0</v>
      </c>
      <c r="G18" s="929">
        <f>SUM('Custos de Implantação'!$C$101*'Custos de Implantação'!C107,'Custos de Implantação'!C113)</f>
        <v>0</v>
      </c>
      <c r="H18" s="929">
        <f t="shared" si="1"/>
        <v>0</v>
      </c>
      <c r="J18" s="930" t="s">
        <v>943</v>
      </c>
    </row>
    <row r="19" spans="2:10" ht="15.75" thickBot="1" x14ac:dyDescent="0.3">
      <c r="B19" s="946" t="s">
        <v>1642</v>
      </c>
      <c r="C19" s="934">
        <f>SUM('Custos de Implantação'!C117,'Custos de Implantação'!C122,'Custos de Implantação'!C151)</f>
        <v>0</v>
      </c>
      <c r="D19" s="935">
        <f>SUM('Custos de Implantação'!C123,'Custos de Implantação'!C159)</f>
        <v>0</v>
      </c>
      <c r="E19" s="935">
        <f>SUM('Custos de Implantação'!C124,'Custos de Implantação'!C167)</f>
        <v>0</v>
      </c>
      <c r="F19" s="935">
        <f>SUM('Custos de Implantação'!C125,'Custos de Implantação'!C175)</f>
        <v>0</v>
      </c>
      <c r="G19" s="935">
        <f>SUM('Custos de Implantação'!C126,'Custos de Implantação'!C183)</f>
        <v>0</v>
      </c>
      <c r="H19" s="931">
        <f t="shared" si="1"/>
        <v>0</v>
      </c>
      <c r="J19" s="930" t="s">
        <v>944</v>
      </c>
    </row>
    <row r="20" spans="2:10" ht="15.75" thickTop="1" x14ac:dyDescent="0.25">
      <c r="B20" s="735" t="s">
        <v>628</v>
      </c>
      <c r="C20" s="929">
        <f t="shared" ref="C20:H20" si="2">SUM(C13:C19)</f>
        <v>0</v>
      </c>
      <c r="D20" s="929">
        <f t="shared" si="2"/>
        <v>0</v>
      </c>
      <c r="E20" s="929">
        <f t="shared" si="2"/>
        <v>0</v>
      </c>
      <c r="F20" s="929">
        <f t="shared" si="2"/>
        <v>0</v>
      </c>
      <c r="G20" s="929">
        <f t="shared" si="2"/>
        <v>0</v>
      </c>
      <c r="H20" s="929">
        <f t="shared" si="2"/>
        <v>0</v>
      </c>
      <c r="J20" s="930"/>
    </row>
    <row r="21" spans="2:10" x14ac:dyDescent="0.25">
      <c r="B21" s="731" t="s">
        <v>1643</v>
      </c>
      <c r="C21" s="932"/>
      <c r="D21" s="932"/>
      <c r="E21" s="932"/>
      <c r="F21" s="932"/>
      <c r="G21" s="932"/>
      <c r="H21" s="932"/>
      <c r="J21" s="933" t="s">
        <v>1350</v>
      </c>
    </row>
    <row r="22" spans="2:10" x14ac:dyDescent="0.25">
      <c r="B22" s="689" t="s">
        <v>1644</v>
      </c>
      <c r="C22" s="936">
        <f>SUM('Custos de Operação'!C44,'Custos de Operação'!C51,'Custos de Operação'!C58,'Custos de Operação'!C65,'Custos de Operação'!C72)</f>
        <v>0</v>
      </c>
      <c r="D22" s="936">
        <f>SUM('Custos de Operação'!C45,'Custos de Operação'!C52,'Custos de Operação'!C59,'Custos de Operação'!C66,'Custos de Operação'!C73)</f>
        <v>0</v>
      </c>
      <c r="E22" s="936">
        <f>SUM('Custos de Operação'!C46,'Custos de Operação'!C53,'Custos de Operação'!C60,'Custos de Operação'!C67,'Custos de Operação'!C74)</f>
        <v>0</v>
      </c>
      <c r="F22" s="936">
        <f>SUM('Custos de Operação'!C47,'Custos de Operação'!C54,'Custos de Operação'!C61,'Custos de Operação'!C68,'Custos de Operação'!C75)</f>
        <v>0</v>
      </c>
      <c r="G22" s="936">
        <f>SUM('Custos de Operação'!C48,'Custos de Operação'!C55,'Custos de Operação'!C62,'Custos de Operação'!C69,'Custos de Operação'!C76)</f>
        <v>0</v>
      </c>
      <c r="H22" s="936">
        <f t="shared" ref="H22:H28" si="3">SUM(C22:G22)</f>
        <v>0</v>
      </c>
      <c r="J22" s="930" t="s">
        <v>945</v>
      </c>
    </row>
    <row r="23" spans="2:10" x14ac:dyDescent="0.25">
      <c r="B23" s="689" t="s">
        <v>1599</v>
      </c>
      <c r="C23" s="936">
        <f>SUM('Custos de Operação'!C88,'Custos de Operação'!C95)</f>
        <v>0</v>
      </c>
      <c r="D23" s="936">
        <f>SUM('Custos de Operação'!C89,'Custos de Operação'!C96)</f>
        <v>0</v>
      </c>
      <c r="E23" s="936">
        <f>SUM('Custos de Operação'!C90,'Custos de Operação'!C97)</f>
        <v>0</v>
      </c>
      <c r="F23" s="936">
        <f>SUM('Custos de Operação'!C91,'Custos de Operação'!C98)</f>
        <v>0</v>
      </c>
      <c r="G23" s="936">
        <f>SUM('Custos de Operação'!C92,'Custos de Operação'!C99)</f>
        <v>0</v>
      </c>
      <c r="H23" s="936">
        <f t="shared" si="3"/>
        <v>0</v>
      </c>
      <c r="J23" s="930" t="s">
        <v>946</v>
      </c>
    </row>
    <row r="24" spans="2:10" x14ac:dyDescent="0.25">
      <c r="B24" s="689" t="s">
        <v>1602</v>
      </c>
      <c r="C24" s="929">
        <f>'Custos de Operação'!$C$102*SUM('Custos de Operação'!C104)</f>
        <v>0</v>
      </c>
      <c r="D24" s="929">
        <f>'Custos de Operação'!$C$102*SUM('Custos de Operação'!C104:C105)</f>
        <v>0</v>
      </c>
      <c r="E24" s="929">
        <f>'Custos de Operação'!$C$102*SUM('Custos de Operação'!C104:C106)</f>
        <v>0</v>
      </c>
      <c r="F24" s="929">
        <f>'Custos de Operação'!$C$102*SUM('Custos de Operação'!C104:C107)</f>
        <v>0</v>
      </c>
      <c r="G24" s="929">
        <f>'Custos de Operação'!$C$102*SUM('Custos de Operação'!C104:C108)</f>
        <v>0</v>
      </c>
      <c r="H24" s="929">
        <f t="shared" si="3"/>
        <v>0</v>
      </c>
      <c r="J24" s="930" t="s">
        <v>1373</v>
      </c>
    </row>
    <row r="25" spans="2:10" x14ac:dyDescent="0.25">
      <c r="B25" s="689" t="s">
        <v>1603</v>
      </c>
      <c r="C25" s="929">
        <f>'Custos de Operação'!$C$111*SUM('Custos de Operação'!C113)</f>
        <v>0</v>
      </c>
      <c r="D25" s="929">
        <f>'Custos de Operação'!$C$111*SUM('Custos de Operação'!C113:C114)</f>
        <v>0</v>
      </c>
      <c r="E25" s="929">
        <f>'Custos de Operação'!$C$111*SUM('Custos de Operação'!C113:C115)</f>
        <v>0</v>
      </c>
      <c r="F25" s="929">
        <f>'Custos de Operação'!$C$111*SUM('Custos de Operação'!C113:C116)</f>
        <v>0</v>
      </c>
      <c r="G25" s="929">
        <f>'Custos de Operação'!$C$111*SUM('Custos de Operação'!C113:C117)</f>
        <v>0</v>
      </c>
      <c r="H25" s="929">
        <f t="shared" si="3"/>
        <v>0</v>
      </c>
      <c r="J25" s="930" t="s">
        <v>1374</v>
      </c>
    </row>
    <row r="26" spans="2:10" x14ac:dyDescent="0.25">
      <c r="B26" s="689" t="s">
        <v>1606</v>
      </c>
      <c r="C26" s="929">
        <f>'Custos de Operação'!C123+'Custos de Operação'!C151</f>
        <v>0</v>
      </c>
      <c r="D26" s="929">
        <f>'Custos de Operação'!C124+'Custos de Operação'!C159</f>
        <v>0</v>
      </c>
      <c r="E26" s="929">
        <f>'Custos de Operação'!C125+'Custos de Operação'!C167</f>
        <v>0</v>
      </c>
      <c r="F26" s="929">
        <f>'Custos de Operação'!C126+'Custos de Operação'!C175</f>
        <v>0</v>
      </c>
      <c r="G26" s="929">
        <f>'Custos de Operação'!C127+'Custos de Operação'!C183</f>
        <v>0</v>
      </c>
      <c r="H26" s="929">
        <f t="shared" si="3"/>
        <v>0</v>
      </c>
      <c r="J26" s="930" t="s">
        <v>947</v>
      </c>
    </row>
    <row r="27" spans="2:10" x14ac:dyDescent="0.25">
      <c r="B27" s="689" t="s">
        <v>1611</v>
      </c>
      <c r="C27" s="929">
        <f>'Custos de Operação'!C187+'Custos de Operação'!C196+'Custos de Operação'!C203+'Custos de Operação'!C210+'Custos de Operação'!C218+'Custos de Operação'!C223+'Custos de Operação'!C224</f>
        <v>0</v>
      </c>
      <c r="D27" s="929">
        <f>'Custos de Operação'!C197+'Custos de Operação'!C204+'Custos de Operação'!C211+'Custos de Operação'!C219+'Custos de Operação'!C223+'Custos de Operação'!C224</f>
        <v>0</v>
      </c>
      <c r="E27" s="929">
        <f>'Custos de Operação'!C198+'Custos de Operação'!C205+'Custos de Operação'!C212+'Custos de Operação'!C220+'Custos de Operação'!C223+'Custos de Operação'!C224</f>
        <v>0</v>
      </c>
      <c r="F27" s="929">
        <f>'Custos de Operação'!C199+'Custos de Operação'!C206+'Custos de Operação'!C213+'Custos de Operação'!C221+'Custos de Operação'!C223+'Custos de Operação'!C224</f>
        <v>0</v>
      </c>
      <c r="G27" s="929">
        <f>'Custos de Operação'!C200+'Custos de Operação'!C207+'Custos de Operação'!C214+'Custos de Operação'!C222+'Custos de Operação'!C223+'Custos de Operação'!C224</f>
        <v>0</v>
      </c>
      <c r="H27" s="929">
        <f t="shared" si="3"/>
        <v>0</v>
      </c>
      <c r="I27" s="697"/>
      <c r="J27" s="937" t="s">
        <v>948</v>
      </c>
    </row>
    <row r="28" spans="2:10" x14ac:dyDescent="0.25">
      <c r="B28" s="689" t="s">
        <v>1618</v>
      </c>
      <c r="C28" s="929">
        <f>'Custos de Operação'!$C$227*'Custos de Operação'!C229</f>
        <v>0</v>
      </c>
      <c r="D28" s="929">
        <f>'Custos de Operação'!$C$227*'Custos de Operação'!C230</f>
        <v>0</v>
      </c>
      <c r="E28" s="929">
        <f>'Custos de Operação'!$C$227*'Custos de Operação'!C231</f>
        <v>0</v>
      </c>
      <c r="F28" s="929">
        <f>'Custos de Operação'!$C$227*'Custos de Operação'!C232</f>
        <v>0</v>
      </c>
      <c r="G28" s="929">
        <f>'Custos de Operação'!$C$227*'Custos de Operação'!C233</f>
        <v>0</v>
      </c>
      <c r="H28" s="929">
        <f t="shared" si="3"/>
        <v>0</v>
      </c>
      <c r="J28" s="930" t="s">
        <v>950</v>
      </c>
    </row>
    <row r="29" spans="2:10" x14ac:dyDescent="0.25">
      <c r="B29" s="689" t="s">
        <v>1500</v>
      </c>
      <c r="C29" s="929">
        <f>'Custos de Operação'!$C$236*'Custos de Operação'!C238</f>
        <v>0</v>
      </c>
      <c r="D29" s="929">
        <f>'Custos de Operação'!$C$236*'Custos de Operação'!C239</f>
        <v>0</v>
      </c>
      <c r="E29" s="929">
        <f>'Custos de Operação'!$C$236*'Custos de Operação'!C240</f>
        <v>0</v>
      </c>
      <c r="F29" s="929">
        <f>'Custos de Operação'!$C$236*'Custos de Operação'!C241</f>
        <v>0</v>
      </c>
      <c r="G29" s="929">
        <f>'Custos de Operação'!$C$236*'Custos de Operação'!C242</f>
        <v>0</v>
      </c>
      <c r="H29" s="929">
        <f>SUM(C29:G29)</f>
        <v>0</v>
      </c>
      <c r="J29" s="930" t="s">
        <v>951</v>
      </c>
    </row>
    <row r="30" spans="2:10" x14ac:dyDescent="0.25">
      <c r="B30" s="689" t="s">
        <v>1621</v>
      </c>
      <c r="C30" s="929">
        <f>'Custos de Operação'!C246</f>
        <v>0</v>
      </c>
      <c r="D30" s="929">
        <f>'Custos de Operação'!C247</f>
        <v>0</v>
      </c>
      <c r="E30" s="929">
        <f>'Custos de Operação'!C248</f>
        <v>0</v>
      </c>
      <c r="F30" s="929">
        <f>'Custos de Operação'!C249</f>
        <v>0</v>
      </c>
      <c r="G30" s="929">
        <f>'Custos de Operação'!C250</f>
        <v>0</v>
      </c>
      <c r="H30" s="929">
        <f t="shared" ref="H30:H35" si="4">SUM(C30:G30)</f>
        <v>0</v>
      </c>
      <c r="J30" s="930" t="s">
        <v>955</v>
      </c>
    </row>
    <row r="31" spans="2:10" x14ac:dyDescent="0.25">
      <c r="B31" s="689" t="s">
        <v>1623</v>
      </c>
      <c r="C31" s="929">
        <f>'Custos de Operação'!$C$253*'Custos de Operação'!C255</f>
        <v>0</v>
      </c>
      <c r="D31" s="929">
        <f>'Custos de Operação'!$C$253*'Custos de Operação'!C256</f>
        <v>0</v>
      </c>
      <c r="E31" s="929">
        <f>'Custos de Operação'!$C$253*'Custos de Operação'!C257</f>
        <v>0</v>
      </c>
      <c r="F31" s="929">
        <f>'Custos de Operação'!$C$253*'Custos de Operação'!C258</f>
        <v>0</v>
      </c>
      <c r="G31" s="929">
        <f>'Custos de Operação'!$C$253*'Custos de Operação'!C259</f>
        <v>0</v>
      </c>
      <c r="H31" s="929">
        <f t="shared" si="4"/>
        <v>0</v>
      </c>
      <c r="J31" s="930" t="s">
        <v>956</v>
      </c>
    </row>
    <row r="32" spans="2:10" x14ac:dyDescent="0.25">
      <c r="B32" s="689" t="s">
        <v>1625</v>
      </c>
      <c r="C32" s="929">
        <f>'Custos de Operação'!C263</f>
        <v>0</v>
      </c>
      <c r="D32" s="929">
        <f>'Custos de Operação'!C264</f>
        <v>0</v>
      </c>
      <c r="E32" s="929">
        <f>'Custos de Operação'!C265</f>
        <v>0</v>
      </c>
      <c r="F32" s="929">
        <f>'Custos de Operação'!C266</f>
        <v>0</v>
      </c>
      <c r="G32" s="929">
        <f>'Custos de Operação'!C267</f>
        <v>0</v>
      </c>
      <c r="H32" s="929">
        <f>SUM(C32:G32)</f>
        <v>0</v>
      </c>
      <c r="J32" s="930" t="s">
        <v>957</v>
      </c>
    </row>
    <row r="33" spans="2:10" x14ac:dyDescent="0.25">
      <c r="B33" s="689" t="s">
        <v>1627</v>
      </c>
      <c r="C33" s="929">
        <f>'Custos de Operação'!$C$270*'Custos de Operação'!C272</f>
        <v>0</v>
      </c>
      <c r="D33" s="929">
        <f>'Custos de Operação'!$C$270*'Custos de Operação'!C273</f>
        <v>0</v>
      </c>
      <c r="E33" s="929">
        <f>'Custos de Operação'!$C$270*'Custos de Operação'!C274</f>
        <v>0</v>
      </c>
      <c r="F33" s="929">
        <f>'Custos de Operação'!$C$270*'Custos de Operação'!C275</f>
        <v>0</v>
      </c>
      <c r="G33" s="929">
        <f>'Custos de Operação'!$C$270*'Custos de Operação'!C276</f>
        <v>0</v>
      </c>
      <c r="H33" s="929">
        <f t="shared" si="4"/>
        <v>0</v>
      </c>
      <c r="J33" s="930" t="s">
        <v>1375</v>
      </c>
    </row>
    <row r="34" spans="2:10" ht="30" x14ac:dyDescent="0.25">
      <c r="B34" s="689" t="s">
        <v>1645</v>
      </c>
      <c r="C34" s="929">
        <f>'Custos de Operação'!$C$279*'Custos de Operação'!C281</f>
        <v>0</v>
      </c>
      <c r="D34" s="929">
        <f>'Custos de Operação'!$C$279*'Custos de Operação'!C282</f>
        <v>0</v>
      </c>
      <c r="E34" s="929">
        <f>'Custos de Operação'!$C$279*'Custos de Operação'!C283</f>
        <v>0</v>
      </c>
      <c r="F34" s="929">
        <f>'Custos de Operação'!$C$279*'Custos de Operação'!C284</f>
        <v>0</v>
      </c>
      <c r="G34" s="929">
        <f>'Custos de Operação'!$C$279*'Custos de Operação'!C285</f>
        <v>0</v>
      </c>
      <c r="H34" s="929">
        <f t="shared" si="4"/>
        <v>0</v>
      </c>
      <c r="J34" s="930" t="s">
        <v>958</v>
      </c>
    </row>
    <row r="35" spans="2:10" ht="15.75" thickBot="1" x14ac:dyDescent="0.3">
      <c r="B35" s="733" t="s">
        <v>1684</v>
      </c>
      <c r="C35" s="931">
        <f>'Custos de Operação'!$C$288*'Custos de Operação'!C290</f>
        <v>0</v>
      </c>
      <c r="D35" s="931">
        <f>'Custos de Operação'!$C$288*'Custos de Operação'!C291</f>
        <v>0</v>
      </c>
      <c r="E35" s="931">
        <f>'Custos de Operação'!$C$288*'Custos de Operação'!C292</f>
        <v>0</v>
      </c>
      <c r="F35" s="931">
        <f>'Custos de Operação'!$C$288*'Custos de Operação'!C293</f>
        <v>0</v>
      </c>
      <c r="G35" s="931">
        <f>'Custos de Operação'!$C$288*'Custos de Operação'!C294</f>
        <v>0</v>
      </c>
      <c r="H35" s="931">
        <f t="shared" si="4"/>
        <v>0</v>
      </c>
      <c r="J35" s="938" t="s">
        <v>959</v>
      </c>
    </row>
    <row r="36" spans="2:10" ht="15.75" thickTop="1" x14ac:dyDescent="0.25">
      <c r="B36" s="1026" t="s">
        <v>1818</v>
      </c>
      <c r="C36" s="1042">
        <f t="shared" ref="C36:H36" si="5">SUM(C22:C35)</f>
        <v>0</v>
      </c>
      <c r="D36" s="1042">
        <f t="shared" si="5"/>
        <v>0</v>
      </c>
      <c r="E36" s="1042">
        <f t="shared" si="5"/>
        <v>0</v>
      </c>
      <c r="F36" s="1042">
        <f t="shared" si="5"/>
        <v>0</v>
      </c>
      <c r="G36" s="1042">
        <f t="shared" si="5"/>
        <v>0</v>
      </c>
      <c r="H36" s="1042">
        <f t="shared" si="5"/>
        <v>0</v>
      </c>
    </row>
    <row r="37" spans="2:10" x14ac:dyDescent="0.25">
      <c r="B37" s="1026" t="s">
        <v>1744</v>
      </c>
      <c r="C37" s="1042">
        <f t="shared" ref="C37:H37" si="6">SUM(C11,C20)</f>
        <v>0</v>
      </c>
      <c r="D37" s="1042">
        <f t="shared" si="6"/>
        <v>0</v>
      </c>
      <c r="E37" s="1042">
        <f t="shared" si="6"/>
        <v>0</v>
      </c>
      <c r="F37" s="1042">
        <f t="shared" si="6"/>
        <v>0</v>
      </c>
      <c r="G37" s="1042">
        <f t="shared" si="6"/>
        <v>0</v>
      </c>
      <c r="H37" s="1042">
        <f t="shared" si="6"/>
        <v>0</v>
      </c>
    </row>
    <row r="38" spans="2:10" x14ac:dyDescent="0.25">
      <c r="B38" s="722" t="s">
        <v>1646</v>
      </c>
      <c r="C38" s="939">
        <f>SUM(C36:C37)</f>
        <v>0</v>
      </c>
      <c r="D38" s="939">
        <f>SUM(D36:D37)</f>
        <v>0</v>
      </c>
      <c r="E38" s="939">
        <f>SUM(E36:E37)</f>
        <v>0</v>
      </c>
      <c r="F38" s="939">
        <f>SUM(F36:F37)</f>
        <v>0</v>
      </c>
      <c r="G38" s="939">
        <f>SUM(G36:G37)</f>
        <v>0</v>
      </c>
      <c r="H38" s="939">
        <f>SUM(C38:G38)</f>
        <v>0</v>
      </c>
    </row>
  </sheetData>
  <sheetProtection formatColumns="0" formatRows="0"/>
  <mergeCells count="2">
    <mergeCell ref="B2:H2"/>
    <mergeCell ref="C5:G5"/>
  </mergeCells>
  <hyperlinks>
    <hyperlink ref="B1" location="Menu!D12" tooltip="Menu" display="&lt;&lt; Menu" xr:uid="{00000000-0004-0000-0800-000000000000}"/>
  </hyperlinks>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12</vt:i4>
      </vt:variant>
    </vt:vector>
  </HeadingPairs>
  <TitlesOfParts>
    <vt:vector size="49" baseType="lpstr">
      <vt:lpstr>TOOL</vt:lpstr>
      <vt:lpstr>Menu</vt:lpstr>
      <vt:lpstr>Guia do Utilizador</vt:lpstr>
      <vt:lpstr>Ambito de Implementação</vt:lpstr>
      <vt:lpstr>Scaling inputs</vt:lpstr>
      <vt:lpstr>Custos de Desenvolvimento</vt:lpstr>
      <vt:lpstr>Custos de Implantação</vt:lpstr>
      <vt:lpstr>Custos de Operação</vt:lpstr>
      <vt:lpstr>Resumo de Custos</vt:lpstr>
      <vt:lpstr>TOOL OPTIONS</vt:lpstr>
      <vt:lpstr>Sheet2</vt:lpstr>
      <vt:lpstr>Sheet12</vt:lpstr>
      <vt:lpstr>Sheet13</vt:lpstr>
      <vt:lpstr>Sheet14</vt:lpstr>
      <vt:lpstr>Sheet15</vt:lpstr>
      <vt:lpstr>Tool logic</vt:lpstr>
      <vt:lpstr>Benchmarking</vt:lpstr>
      <vt:lpstr>Compromissos Orçamentais e Lacu</vt:lpstr>
      <vt:lpstr>Notes - Operations Costs</vt:lpstr>
      <vt:lpstr>Notes - Scope of Implemntn.</vt:lpstr>
      <vt:lpstr>Notes - Development Costs</vt:lpstr>
      <vt:lpstr>Notes - Deployment Costs</vt:lpstr>
      <vt:lpstr>BACKGROUND</vt:lpstr>
      <vt:lpstr>Countries</vt:lpstr>
      <vt:lpstr>Salary input data </vt:lpstr>
      <vt:lpstr>Possible edits</vt:lpstr>
      <vt:lpstr>Suggested input data </vt:lpstr>
      <vt:lpstr>Labor tab Example </vt:lpstr>
      <vt:lpstr>LMIS TCO Summary</vt:lpstr>
      <vt:lpstr>LMIS TCO</vt:lpstr>
      <vt:lpstr>LMIS TCO_TZ Reference</vt:lpstr>
      <vt:lpstr>CommCare TCO</vt:lpstr>
      <vt:lpstr>CommCare TCO per year</vt:lpstr>
      <vt:lpstr>Approach and questions</vt:lpstr>
      <vt:lpstr>Cost category comparison</vt:lpstr>
      <vt:lpstr>Cost data triangulation</vt:lpstr>
      <vt:lpstr>Variance by % of TCO</vt:lpstr>
      <vt:lpstr>'Compromissos Orçamentais e Lacu'!Hosting</vt:lpstr>
      <vt:lpstr>'Custos de Desenvolvimento'!Hosting</vt:lpstr>
      <vt:lpstr>'Notes - Deployment Costs'!Hosting</vt:lpstr>
      <vt:lpstr>'Notes - Operations Costs'!Hosting</vt:lpstr>
      <vt:lpstr>'Notes - Scope of Implemntn.'!Hosting</vt:lpstr>
      <vt:lpstr>Hosting</vt:lpstr>
      <vt:lpstr>'Compromissos Orçamentais e Lacu'!Selection</vt:lpstr>
      <vt:lpstr>'Custos de Desenvolvimento'!Selection</vt:lpstr>
      <vt:lpstr>'Notes - Deployment Costs'!Selection</vt:lpstr>
      <vt:lpstr>'Notes - Operations Costs'!Selection</vt:lpstr>
      <vt:lpstr>'Notes - Scope of Implemntn.'!Selection</vt:lpstr>
      <vt:lpstr>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Herrick, Tara</dc:creator>
  <cp:lastModifiedBy>Nina Getachew</cp:lastModifiedBy>
  <cp:lastPrinted>2022-11-07T16:34:40Z</cp:lastPrinted>
  <dcterms:created xsi:type="dcterms:W3CDTF">2021-07-26T21:39:51Z</dcterms:created>
  <dcterms:modified xsi:type="dcterms:W3CDTF">2023-12-07T15:53:18Z</dcterms:modified>
</cp:coreProperties>
</file>